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Default Extension="jpeg" ContentType="image/jpe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ThisWorkbook" defaultThemeVersion="124226"/>
  <bookViews>
    <workbookView xWindow="240" yWindow="90" windowWidth="18780" windowHeight="11760" firstSheet="4" activeTab="4"/>
  </bookViews>
  <sheets>
    <sheet name="Béta" sheetId="1" state="hidden" r:id="rId1"/>
    <sheet name="Liste" sheetId="2" state="hidden" r:id="rId2"/>
    <sheet name="Pressions" sheetId="3" state="hidden" r:id="rId3"/>
    <sheet name="P.Vaporisation" sheetId="4" state="hidden" r:id="rId4"/>
    <sheet name="Guide" sheetId="6" r:id="rId5"/>
    <sheet name="Interface" sheetId="5" r:id="rId6"/>
    <sheet name="Image" sheetId="7" state="hidden" r:id="rId7"/>
  </sheets>
  <definedNames>
    <definedName name="Antigel">Liste!$B$2:$B$4</definedName>
    <definedName name="Chaufferie">Liste!$F$2:$F$4</definedName>
    <definedName name="Decal">OFFSET(Image!$F$3,MATCH(Interface!$C$8,Image!$E$3:$E$5,0)-1,0)</definedName>
    <definedName name="ecs">Liste!$B$7:$B$8</definedName>
    <definedName name="glycol">Liste!$D$2:$D$7</definedName>
    <definedName name="Liste">Image!$E$3:$E$5</definedName>
    <definedName name="Pompe">Liste!$H$2:$H$4</definedName>
    <definedName name="type">Liste!$J$2:$J$5</definedName>
    <definedName name="vide">Liste!$F$6:$F$7</definedName>
  </definedNames>
  <calcPr calcId="125725"/>
</workbook>
</file>

<file path=xl/calcChain.xml><?xml version="1.0" encoding="utf-8"?>
<calcChain xmlns="http://schemas.openxmlformats.org/spreadsheetml/2006/main">
  <c r="I3" i="3"/>
  <c r="I4" s="1"/>
  <c r="B13" i="5"/>
  <c r="C34" i="3"/>
  <c r="D12"/>
  <c r="C31" s="1"/>
  <c r="C28"/>
  <c r="H15"/>
  <c r="B10" i="5"/>
  <c r="H12" i="3" l="1"/>
  <c r="K29" i="1" l="1"/>
  <c r="K31"/>
  <c r="K33"/>
  <c r="K35"/>
  <c r="K37"/>
  <c r="K39"/>
  <c r="K41"/>
  <c r="K43"/>
  <c r="K45"/>
  <c r="K47"/>
  <c r="K49"/>
  <c r="K51"/>
  <c r="K53"/>
  <c r="B24"/>
  <c r="B22"/>
  <c r="K22" s="1"/>
  <c r="B26" s="1"/>
  <c r="H21"/>
  <c r="B25"/>
  <c r="B31" s="1"/>
  <c r="J54"/>
  <c r="J52"/>
  <c r="J50"/>
  <c r="J48"/>
  <c r="J46"/>
  <c r="J44"/>
  <c r="J42"/>
  <c r="J40"/>
  <c r="J38"/>
  <c r="J36"/>
  <c r="J34"/>
  <c r="J32"/>
  <c r="J30"/>
  <c r="I54"/>
  <c r="I52"/>
  <c r="I50"/>
  <c r="I48"/>
  <c r="I46"/>
  <c r="I44"/>
  <c r="I42"/>
  <c r="I40"/>
  <c r="I38"/>
  <c r="I36"/>
  <c r="I34"/>
  <c r="I32"/>
  <c r="I30"/>
  <c r="H54"/>
  <c r="H52"/>
  <c r="H50"/>
  <c r="H48"/>
  <c r="H46"/>
  <c r="H44"/>
  <c r="H42"/>
  <c r="H40"/>
  <c r="H38"/>
  <c r="H36"/>
  <c r="H34"/>
  <c r="H32"/>
  <c r="H30"/>
  <c r="G54"/>
  <c r="G52"/>
  <c r="G50"/>
  <c r="G48"/>
  <c r="G46"/>
  <c r="G44"/>
  <c r="G42"/>
  <c r="G40"/>
  <c r="G38"/>
  <c r="G36"/>
  <c r="G34"/>
  <c r="G32"/>
  <c r="G30"/>
  <c r="F54"/>
  <c r="F52"/>
  <c r="F50"/>
  <c r="F48"/>
  <c r="F46"/>
  <c r="F44"/>
  <c r="F42"/>
  <c r="F40"/>
  <c r="F38"/>
  <c r="F36"/>
  <c r="F34"/>
  <c r="F32"/>
  <c r="F30"/>
  <c r="G12" i="5"/>
  <c r="G17"/>
  <c r="G16"/>
  <c r="H23" i="3"/>
  <c r="L22" i="1" l="1"/>
  <c r="K21"/>
  <c r="M22"/>
  <c r="B27" s="1"/>
  <c r="M21" s="1"/>
  <c r="D5" i="3"/>
  <c r="D9" s="1"/>
  <c r="C6" i="4"/>
  <c r="C9" s="1"/>
  <c r="C2"/>
  <c r="C3" i="1"/>
  <c r="D10" s="1"/>
  <c r="D16" s="1"/>
  <c r="C2"/>
  <c r="D12"/>
  <c r="L5"/>
  <c r="H2" i="3" l="1"/>
  <c r="H3" s="1"/>
  <c r="H4" s="1"/>
  <c r="D11"/>
  <c r="G19" i="5" s="1"/>
  <c r="H9" i="3"/>
  <c r="F30" s="1"/>
  <c r="F31" s="1"/>
  <c r="G30" s="1"/>
  <c r="L21" i="1"/>
  <c r="B29" s="1"/>
  <c r="C36" i="3" s="1"/>
  <c r="G10" i="5"/>
  <c r="C10" i="4"/>
  <c r="C11" s="1"/>
  <c r="I8" s="1"/>
  <c r="D11" i="1"/>
  <c r="D15" s="1"/>
  <c r="D14"/>
  <c r="H11" i="3" l="1"/>
  <c r="C30"/>
  <c r="H17"/>
  <c r="G15" i="5" s="1"/>
  <c r="I9" i="4"/>
  <c r="D10" i="3" s="1"/>
  <c r="G11" i="5" s="1"/>
  <c r="H22" i="3"/>
  <c r="D13"/>
  <c r="G13" i="5" s="1"/>
  <c r="I20" i="4" l="1"/>
  <c r="I21" s="1"/>
  <c r="I16"/>
  <c r="I17" s="1"/>
  <c r="H8" i="3"/>
  <c r="H16" s="1"/>
  <c r="H25"/>
  <c r="C27"/>
  <c r="C35" s="1"/>
  <c r="C41"/>
  <c r="C43" s="1"/>
  <c r="H35" l="1"/>
  <c r="G20" i="5" s="1"/>
  <c r="F21" l="1"/>
</calcChain>
</file>

<file path=xl/comments1.xml><?xml version="1.0" encoding="utf-8"?>
<comments xmlns="http://schemas.openxmlformats.org/spreadsheetml/2006/main">
  <authors>
    <author xml:space="preserve"> </author>
  </authors>
  <commentList>
    <comment ref="F17" authorId="0">
      <text>
        <r>
          <rPr>
            <b/>
            <sz val="10"/>
            <color indexed="81"/>
            <rFont val="Times New Roman"/>
            <family val="1"/>
          </rPr>
          <t>Le volume des capteurs est majoré de 10%.</t>
        </r>
        <r>
          <rPr>
            <sz val="10"/>
            <color indexed="81"/>
            <rFont val="Times New Roman"/>
            <family val="1"/>
          </rPr>
          <t xml:space="preserve">
</t>
        </r>
      </text>
    </comment>
  </commentList>
</comments>
</file>

<file path=xl/sharedStrings.xml><?xml version="1.0" encoding="utf-8"?>
<sst xmlns="http://schemas.openxmlformats.org/spreadsheetml/2006/main" count="131" uniqueCount="95">
  <si>
    <t>Type du fluide</t>
  </si>
  <si>
    <t>Eau</t>
  </si>
  <si>
    <t>A1</t>
  </si>
  <si>
    <t>A2</t>
  </si>
  <si>
    <t>A3</t>
  </si>
  <si>
    <t>A4</t>
  </si>
  <si>
    <t>A5</t>
  </si>
  <si>
    <t>Constantes Ethylène</t>
  </si>
  <si>
    <t>Constantes Propylène</t>
  </si>
  <si>
    <t>Constantes Eau pure</t>
  </si>
  <si>
    <t>A0</t>
  </si>
  <si>
    <t>Pourcentage du glycol [%]</t>
  </si>
  <si>
    <t>Hauteur de l'installation</t>
  </si>
  <si>
    <t>Pression minimale des générateurs</t>
  </si>
  <si>
    <t>Emplacement de la chaufferie</t>
  </si>
  <si>
    <t>Sous-sol</t>
  </si>
  <si>
    <t>Pression statique [bar]</t>
  </si>
  <si>
    <t>Pression de vaporisation [bar]</t>
  </si>
  <si>
    <t>Eau pur</t>
  </si>
  <si>
    <t>a1</t>
  </si>
  <si>
    <t>a2</t>
  </si>
  <si>
    <t>a3</t>
  </si>
  <si>
    <t>a4</t>
  </si>
  <si>
    <t>a5</t>
  </si>
  <si>
    <t>a6</t>
  </si>
  <si>
    <t>Paramètres thermodynamiques de l'eau pure</t>
  </si>
  <si>
    <t>Pression critique [bar]</t>
  </si>
  <si>
    <t>Température critique [K]</t>
  </si>
  <si>
    <t>Température moyenne de l'installation [K]</t>
  </si>
  <si>
    <t>Tmoy.</t>
  </si>
  <si>
    <t>Tho</t>
  </si>
  <si>
    <t>Exponontiel</t>
  </si>
  <si>
    <t>Coef.</t>
  </si>
  <si>
    <t>Pourcentage glycol</t>
  </si>
  <si>
    <t>Pression de vaporisation absolue [bar]</t>
  </si>
  <si>
    <t>Pression de vaporisation relative [bar]</t>
  </si>
  <si>
    <t>Paramètres thermodynamiques du propylène</t>
  </si>
  <si>
    <t>Paramètres thermodynamiques d'ethylène</t>
  </si>
  <si>
    <t>Pression de gonflage [bar]</t>
  </si>
  <si>
    <t>Emplacement du vase</t>
  </si>
  <si>
    <t xml:space="preserve">Chauffage </t>
  </si>
  <si>
    <t>ECS</t>
  </si>
  <si>
    <t>Solaire</t>
  </si>
  <si>
    <t>rho Ethylène</t>
  </si>
  <si>
    <t>rho Propylène</t>
  </si>
  <si>
    <t>rho Eau</t>
  </si>
  <si>
    <t>Température mouenne [K]</t>
  </si>
  <si>
    <t>Pression finale [bar]</t>
  </si>
  <si>
    <t>Température moyenne [°C]</t>
  </si>
  <si>
    <t>Bêta Ethylène [/K]</t>
  </si>
  <si>
    <t>Bêta Propylène [/K]</t>
  </si>
  <si>
    <t>Bêta Eau [/K]</t>
  </si>
  <si>
    <t>Pression de remplissage [bar]</t>
  </si>
  <si>
    <t>Absolue [bar]</t>
  </si>
  <si>
    <t>Capacité de l'installation [L]</t>
  </si>
  <si>
    <t>Volume d'expansion [L]</t>
  </si>
  <si>
    <t>Capacité de l'installation solaire [L]</t>
  </si>
  <si>
    <t>Volume du reserve [L]</t>
  </si>
  <si>
    <t>Volume capteur [L]</t>
  </si>
  <si>
    <r>
      <t>Volume des capteurs [</t>
    </r>
    <r>
      <rPr>
        <sz val="12"/>
        <color theme="1"/>
        <rFont val="Brush Script MT"/>
        <family val="4"/>
      </rPr>
      <t>l</t>
    </r>
    <r>
      <rPr>
        <sz val="12"/>
        <color theme="1"/>
        <rFont val="Times New Roman"/>
        <family val="1"/>
      </rPr>
      <t>]</t>
    </r>
  </si>
  <si>
    <r>
      <t>Volume de dilatation [</t>
    </r>
    <r>
      <rPr>
        <sz val="11"/>
        <color theme="1"/>
        <rFont val="Brush Script MT"/>
        <family val="4"/>
      </rPr>
      <t>l</t>
    </r>
    <r>
      <rPr>
        <sz val="11"/>
        <color theme="1"/>
        <rFont val="Times New Roman"/>
        <family val="1"/>
      </rPr>
      <t>]</t>
    </r>
  </si>
  <si>
    <t>En aval du circulateur</t>
  </si>
  <si>
    <t>Sous-sol &amp; rez de chaussée</t>
  </si>
  <si>
    <t>Toiture terrasse</t>
  </si>
  <si>
    <t xml:space="preserve">En amont du circulateur </t>
  </si>
  <si>
    <t>Pression finale [bar] (à affiché)</t>
  </si>
  <si>
    <t>Pression de gonflage [bar] (à afficher)</t>
  </si>
  <si>
    <t>Pression de vaporisation [bar] (à afficher)</t>
  </si>
  <si>
    <t>Pression statique [bar] (à afficher)</t>
  </si>
  <si>
    <t>Pression de remplissage [bar] (à afficher)</t>
  </si>
  <si>
    <t>coefficient de dilatation en l/m3</t>
  </si>
  <si>
    <t xml:space="preserve">Température moyenne </t>
  </si>
  <si>
    <t>a</t>
  </si>
  <si>
    <t>b</t>
  </si>
  <si>
    <t>c</t>
  </si>
  <si>
    <t>e</t>
  </si>
  <si>
    <t>d</t>
  </si>
  <si>
    <t>Glycol %</t>
  </si>
  <si>
    <t>No collone</t>
  </si>
  <si>
    <t>No ligne min</t>
  </si>
  <si>
    <t>No ligne max</t>
  </si>
  <si>
    <t>Coef.dilatation l/m3</t>
  </si>
  <si>
    <t>Eau + Glycol</t>
  </si>
  <si>
    <r>
      <t>volume des capteurs retenu [</t>
    </r>
    <r>
      <rPr>
        <sz val="11"/>
        <color theme="1"/>
        <rFont val="Brush Script MT"/>
        <family val="4"/>
      </rPr>
      <t>l</t>
    </r>
    <r>
      <rPr>
        <sz val="11"/>
        <color theme="1"/>
        <rFont val="Times New Roman"/>
        <family val="1"/>
      </rPr>
      <t>]</t>
    </r>
  </si>
  <si>
    <t>Type d'installation</t>
  </si>
  <si>
    <t>Pression minimale des générateurs [bar]</t>
  </si>
  <si>
    <t>Type de fluide</t>
  </si>
  <si>
    <t>Pression de tarage de la soupapes [bar]</t>
  </si>
  <si>
    <r>
      <t>Volume total du vase [</t>
    </r>
    <r>
      <rPr>
        <sz val="11"/>
        <color theme="1"/>
        <rFont val="Brush Script MT"/>
        <family val="4"/>
      </rPr>
      <t>l</t>
    </r>
    <r>
      <rPr>
        <sz val="11"/>
        <color theme="1"/>
        <rFont val="Times New Roman"/>
        <family val="1"/>
      </rPr>
      <t>]</t>
    </r>
  </si>
  <si>
    <r>
      <t>Volume de réserve [</t>
    </r>
    <r>
      <rPr>
        <sz val="11"/>
        <color theme="1"/>
        <rFont val="Brush Script MT"/>
        <family val="4"/>
      </rPr>
      <t>l</t>
    </r>
    <r>
      <rPr>
        <sz val="11"/>
        <color theme="1"/>
        <rFont val="Times New Roman"/>
        <family val="1"/>
      </rPr>
      <t>]</t>
    </r>
  </si>
  <si>
    <t>Pression différentielle de la pompe [mCE]</t>
  </si>
  <si>
    <t>V</t>
  </si>
  <si>
    <t>V affiché (l)</t>
  </si>
  <si>
    <t>volume affiché</t>
  </si>
  <si>
    <t>Chauffage</t>
  </si>
</sst>
</file>

<file path=xl/styles.xml><?xml version="1.0" encoding="utf-8"?>
<styleSheet xmlns="http://schemas.openxmlformats.org/spreadsheetml/2006/main">
  <numFmts count="1">
    <numFmt numFmtId="164" formatCode="#,##0&quot; %&quot;"/>
  </numFmts>
  <fonts count="7">
    <font>
      <sz val="11"/>
      <color theme="1"/>
      <name val="Calibri"/>
      <family val="2"/>
      <scheme val="minor"/>
    </font>
    <font>
      <sz val="11"/>
      <color theme="1"/>
      <name val="Times New Roman"/>
      <family val="1"/>
    </font>
    <font>
      <sz val="12"/>
      <color theme="1"/>
      <name val="Times New Roman"/>
      <family val="1"/>
    </font>
    <font>
      <sz val="12"/>
      <color theme="1"/>
      <name val="Brush Script MT"/>
      <family val="4"/>
    </font>
    <font>
      <sz val="11"/>
      <color theme="1"/>
      <name val="Brush Script MT"/>
      <family val="4"/>
    </font>
    <font>
      <b/>
      <sz val="10"/>
      <color indexed="81"/>
      <name val="Times New Roman"/>
      <family val="1"/>
    </font>
    <font>
      <sz val="10"/>
      <color indexed="81"/>
      <name val="Times New Roman"/>
      <family val="1"/>
    </font>
  </fonts>
  <fills count="7">
    <fill>
      <patternFill patternType="none"/>
    </fill>
    <fill>
      <patternFill patternType="gray125"/>
    </fill>
    <fill>
      <patternFill patternType="solid">
        <fgColor rgb="FFFFFF99"/>
        <bgColor indexed="64"/>
      </patternFill>
    </fill>
    <fill>
      <patternFill patternType="solid">
        <fgColor theme="9" tint="-0.249977111117893"/>
        <bgColor indexed="64"/>
      </patternFill>
    </fill>
    <fill>
      <patternFill patternType="solid">
        <fgColor theme="0"/>
        <bgColor indexed="64"/>
      </patternFill>
    </fill>
    <fill>
      <patternFill patternType="solid">
        <fgColor theme="0" tint="-0.14999847407452621"/>
        <bgColor indexed="64"/>
      </patternFill>
    </fill>
    <fill>
      <patternFill patternType="solid">
        <fgColor rgb="FFFFC000"/>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right style="thin">
        <color rgb="FFFFFF99"/>
      </right>
      <top/>
      <bottom/>
      <diagonal/>
    </border>
    <border>
      <left/>
      <right/>
      <top/>
      <bottom style="thin">
        <color rgb="FFFFFF99"/>
      </bottom>
      <diagonal/>
    </border>
    <border>
      <left style="thin">
        <color rgb="FFFFFF99"/>
      </left>
      <right style="thin">
        <color rgb="FFFFFF99"/>
      </right>
      <top style="thin">
        <color rgb="FFFFFF99"/>
      </top>
      <bottom style="thin">
        <color rgb="FFFFFF99"/>
      </bottom>
      <diagonal/>
    </border>
    <border>
      <left style="thin">
        <color indexed="64"/>
      </left>
      <right style="thin">
        <color rgb="FFFFFF99"/>
      </right>
      <top/>
      <bottom style="thin">
        <color indexed="64"/>
      </bottom>
      <diagonal/>
    </border>
    <border>
      <left style="thin">
        <color indexed="64"/>
      </left>
      <right style="thin">
        <color rgb="FFFFFF99"/>
      </right>
      <top style="thin">
        <color indexed="64"/>
      </top>
      <bottom style="thin">
        <color indexed="64"/>
      </bottom>
      <diagonal/>
    </border>
    <border>
      <left/>
      <right style="thin">
        <color rgb="FFFFFF99"/>
      </right>
      <top style="thin">
        <color rgb="FFFFFF99"/>
      </top>
      <bottom style="thin">
        <color rgb="FFFFFF99"/>
      </bottom>
      <diagonal/>
    </border>
  </borders>
  <cellStyleXfs count="1">
    <xf numFmtId="0" fontId="0" fillId="0" borderId="0"/>
  </cellStyleXfs>
  <cellXfs count="55">
    <xf numFmtId="0" fontId="0" fillId="0" borderId="0" xfId="0"/>
    <xf numFmtId="0" fontId="0" fillId="0" borderId="1" xfId="0" applyBorder="1"/>
    <xf numFmtId="0" fontId="0" fillId="2" borderId="0" xfId="0" applyFill="1"/>
    <xf numFmtId="0" fontId="0" fillId="2" borderId="0" xfId="0" applyFill="1" applyProtection="1">
      <protection locked="0"/>
    </xf>
    <xf numFmtId="0" fontId="2" fillId="2" borderId="0" xfId="0" applyFont="1" applyFill="1" applyProtection="1">
      <protection locked="0"/>
    </xf>
    <xf numFmtId="0" fontId="2" fillId="3" borderId="1" xfId="0" applyFont="1" applyFill="1" applyBorder="1" applyAlignment="1" applyProtection="1">
      <alignment horizontal="center" vertical="center"/>
    </xf>
    <xf numFmtId="0" fontId="2" fillId="2" borderId="0" xfId="0" applyFont="1" applyFill="1" applyAlignment="1" applyProtection="1">
      <alignment horizontal="center" vertical="center"/>
    </xf>
    <xf numFmtId="0" fontId="2" fillId="3" borderId="1" xfId="0" applyFont="1" applyFill="1" applyBorder="1" applyAlignment="1" applyProtection="1">
      <alignment horizontal="center" vertical="center" wrapText="1"/>
    </xf>
    <xf numFmtId="0" fontId="1" fillId="3" borderId="1" xfId="0" applyFont="1" applyFill="1" applyBorder="1" applyAlignment="1" applyProtection="1">
      <alignment horizontal="center" vertical="center"/>
    </xf>
    <xf numFmtId="0" fontId="0" fillId="2" borderId="0" xfId="0" applyFill="1" applyProtection="1"/>
    <xf numFmtId="0" fontId="1" fillId="6" borderId="1" xfId="0" applyFont="1" applyFill="1" applyBorder="1" applyAlignment="1" applyProtection="1">
      <alignment horizontal="center" vertical="center"/>
    </xf>
    <xf numFmtId="0" fontId="0" fillId="0" borderId="3" xfId="0" applyBorder="1"/>
    <xf numFmtId="0" fontId="0" fillId="0" borderId="15" xfId="0" applyBorder="1"/>
    <xf numFmtId="9" fontId="0" fillId="0" borderId="1" xfId="0" applyNumberFormat="1" applyBorder="1"/>
    <xf numFmtId="0" fontId="0" fillId="0" borderId="1" xfId="0" applyBorder="1" applyProtection="1">
      <protection hidden="1"/>
    </xf>
    <xf numFmtId="0" fontId="0" fillId="0" borderId="1" xfId="0" applyBorder="1" applyAlignment="1" applyProtection="1">
      <alignment horizontal="center" vertical="center"/>
      <protection hidden="1"/>
    </xf>
    <xf numFmtId="0" fontId="0" fillId="0" borderId="0" xfId="0" applyProtection="1">
      <protection hidden="1"/>
    </xf>
    <xf numFmtId="164" fontId="0" fillId="0" borderId="1" xfId="0" applyNumberFormat="1" applyBorder="1" applyAlignment="1" applyProtection="1">
      <alignment horizontal="center" vertical="center"/>
      <protection hidden="1"/>
    </xf>
    <xf numFmtId="0" fontId="0" fillId="0" borderId="2" xfId="0" applyBorder="1" applyProtection="1">
      <protection hidden="1"/>
    </xf>
    <xf numFmtId="0" fontId="0" fillId="0" borderId="1" xfId="0" applyBorder="1" applyAlignment="1" applyProtection="1">
      <alignment vertical="top" wrapText="1"/>
      <protection hidden="1"/>
    </xf>
    <xf numFmtId="9" fontId="0" fillId="0" borderId="1" xfId="0" applyNumberFormat="1" applyBorder="1" applyProtection="1">
      <protection hidden="1"/>
    </xf>
    <xf numFmtId="0" fontId="0" fillId="0" borderId="1" xfId="0" applyFill="1" applyBorder="1" applyProtection="1">
      <protection hidden="1"/>
    </xf>
    <xf numFmtId="0" fontId="0" fillId="0" borderId="0" xfId="0" applyAlignment="1" applyProtection="1">
      <alignment horizontal="center" vertical="center"/>
      <protection hidden="1"/>
    </xf>
    <xf numFmtId="0" fontId="0" fillId="0" borderId="1" xfId="0" applyBorder="1" applyAlignment="1" applyProtection="1">
      <alignment horizontal="left" vertical="center" wrapText="1"/>
      <protection hidden="1"/>
    </xf>
    <xf numFmtId="0" fontId="0" fillId="0" borderId="5" xfId="0" applyBorder="1" applyProtection="1">
      <protection hidden="1"/>
    </xf>
    <xf numFmtId="0" fontId="0" fillId="0" borderId="6" xfId="0" applyBorder="1" applyProtection="1">
      <protection hidden="1"/>
    </xf>
    <xf numFmtId="0" fontId="0" fillId="0" borderId="7" xfId="0" applyBorder="1" applyProtection="1">
      <protection hidden="1"/>
    </xf>
    <xf numFmtId="0" fontId="0" fillId="0" borderId="8" xfId="0" applyBorder="1" applyProtection="1">
      <protection hidden="1"/>
    </xf>
    <xf numFmtId="0" fontId="0" fillId="0" borderId="9" xfId="0" applyBorder="1" applyProtection="1">
      <protection hidden="1"/>
    </xf>
    <xf numFmtId="0" fontId="0" fillId="0" borderId="10" xfId="0" applyBorder="1" applyProtection="1">
      <protection hidden="1"/>
    </xf>
    <xf numFmtId="0" fontId="0" fillId="0" borderId="11" xfId="0" applyBorder="1" applyProtection="1">
      <protection hidden="1"/>
    </xf>
    <xf numFmtId="0" fontId="0" fillId="0" borderId="12" xfId="0" applyBorder="1" applyProtection="1">
      <protection hidden="1"/>
    </xf>
    <xf numFmtId="0" fontId="0" fillId="0" borderId="0" xfId="0" applyBorder="1" applyProtection="1">
      <protection hidden="1"/>
    </xf>
    <xf numFmtId="0" fontId="0" fillId="0" borderId="1" xfId="0" applyBorder="1" applyAlignment="1" applyProtection="1">
      <alignment horizontal="center"/>
      <protection hidden="1"/>
    </xf>
    <xf numFmtId="0" fontId="0" fillId="0" borderId="0" xfId="0" applyBorder="1" applyAlignment="1" applyProtection="1">
      <alignment wrapText="1"/>
      <protection hidden="1"/>
    </xf>
    <xf numFmtId="0" fontId="0" fillId="0" borderId="17" xfId="0" applyBorder="1" applyProtection="1">
      <protection hidden="1"/>
    </xf>
    <xf numFmtId="0" fontId="0" fillId="0" borderId="16" xfId="0" applyBorder="1" applyAlignment="1" applyProtection="1">
      <alignment horizontal="center" vertical="center"/>
      <protection hidden="1"/>
    </xf>
    <xf numFmtId="0" fontId="0" fillId="0" borderId="18" xfId="0" applyBorder="1" applyProtection="1">
      <protection hidden="1"/>
    </xf>
    <xf numFmtId="0" fontId="0" fillId="0" borderId="16" xfId="0" applyBorder="1" applyProtection="1">
      <protection hidden="1"/>
    </xf>
    <xf numFmtId="0" fontId="0" fillId="0" borderId="19" xfId="0" applyBorder="1" applyAlignment="1" applyProtection="1">
      <alignment horizontal="center" vertical="center"/>
      <protection hidden="1"/>
    </xf>
    <xf numFmtId="0" fontId="0" fillId="0" borderId="20" xfId="0" applyBorder="1" applyAlignment="1" applyProtection="1">
      <alignment horizontal="center" vertical="center"/>
      <protection hidden="1"/>
    </xf>
    <xf numFmtId="0" fontId="0" fillId="0" borderId="21" xfId="0" applyBorder="1" applyProtection="1">
      <protection hidden="1"/>
    </xf>
    <xf numFmtId="0" fontId="2" fillId="5" borderId="1" xfId="0" applyFont="1" applyFill="1" applyBorder="1" applyAlignment="1" applyProtection="1">
      <alignment horizontal="center" vertical="center"/>
      <protection locked="0"/>
    </xf>
    <xf numFmtId="9" fontId="2" fillId="5" borderId="1" xfId="0" applyNumberFormat="1" applyFont="1" applyFill="1" applyBorder="1" applyAlignment="1" applyProtection="1">
      <alignment horizontal="center" vertical="center"/>
      <protection locked="0"/>
    </xf>
    <xf numFmtId="2" fontId="1" fillId="4" borderId="1" xfId="0" applyNumberFormat="1" applyFont="1" applyFill="1" applyBorder="1" applyAlignment="1" applyProtection="1">
      <alignment horizontal="center" vertical="center"/>
      <protection hidden="1"/>
    </xf>
    <xf numFmtId="0" fontId="1" fillId="4" borderId="1" xfId="0" applyFont="1" applyFill="1" applyBorder="1" applyAlignment="1" applyProtection="1">
      <alignment horizontal="center" vertical="center"/>
      <protection hidden="1"/>
    </xf>
    <xf numFmtId="0" fontId="0" fillId="0" borderId="1" xfId="0" applyBorder="1" applyAlignment="1" applyProtection="1">
      <alignment horizontal="center"/>
      <protection hidden="1"/>
    </xf>
    <xf numFmtId="0" fontId="0" fillId="0" borderId="3" xfId="0" applyBorder="1" applyAlignment="1" applyProtection="1">
      <alignment horizontal="center"/>
      <protection hidden="1"/>
    </xf>
    <xf numFmtId="0" fontId="0" fillId="0" borderId="13" xfId="0" applyBorder="1" applyAlignment="1" applyProtection="1">
      <alignment horizontal="center"/>
      <protection hidden="1"/>
    </xf>
    <xf numFmtId="0" fontId="0" fillId="0" borderId="14" xfId="0" applyBorder="1" applyAlignment="1" applyProtection="1">
      <alignment horizontal="center"/>
      <protection hidden="1"/>
    </xf>
    <xf numFmtId="0" fontId="0" fillId="0" borderId="2" xfId="0" applyBorder="1" applyAlignment="1" applyProtection="1">
      <alignment horizontal="center" vertical="center"/>
      <protection hidden="1"/>
    </xf>
    <xf numFmtId="0" fontId="0" fillId="0" borderId="4" xfId="0" applyBorder="1" applyAlignment="1" applyProtection="1">
      <alignment horizontal="center" vertical="center"/>
      <protection hidden="1"/>
    </xf>
    <xf numFmtId="0" fontId="0" fillId="0" borderId="1" xfId="0" applyBorder="1" applyAlignment="1" applyProtection="1">
      <alignment horizontal="center" vertical="center" wrapText="1"/>
      <protection hidden="1"/>
    </xf>
    <xf numFmtId="0" fontId="0" fillId="0" borderId="2" xfId="0" applyBorder="1" applyAlignment="1" applyProtection="1">
      <alignment horizontal="center" vertical="center" wrapText="1"/>
      <protection hidden="1"/>
    </xf>
    <xf numFmtId="0" fontId="0" fillId="0" borderId="4" xfId="0" applyBorder="1" applyAlignment="1" applyProtection="1">
      <alignment horizontal="center" vertical="center" wrapText="1"/>
      <protection hidden="1"/>
    </xf>
  </cellXfs>
  <cellStyles count="1">
    <cellStyle name="Normal" xfId="0" builtinId="0"/>
  </cellStyles>
  <dxfs count="20">
    <dxf>
      <font>
        <color theme="9" tint="0.59996337778862885"/>
      </font>
      <fill>
        <gradientFill degree="90">
          <stop position="0">
            <color theme="0"/>
          </stop>
          <stop position="1">
            <color theme="9" tint="0.40000610370189521"/>
          </stop>
        </gradientFill>
      </fill>
    </dxf>
    <dxf>
      <font>
        <color theme="9" tint="0.59996337778862885"/>
      </font>
      <fill>
        <gradientFill degree="90">
          <stop position="0">
            <color theme="0"/>
          </stop>
          <stop position="1">
            <color theme="9" tint="0.40000610370189521"/>
          </stop>
        </gradientFill>
      </fill>
    </dxf>
    <dxf>
      <font>
        <color theme="9" tint="0.59996337778862885"/>
      </font>
      <fill>
        <gradientFill degree="90">
          <stop position="0">
            <color theme="0"/>
          </stop>
          <stop position="1">
            <color theme="9" tint="0.40000610370189521"/>
          </stop>
        </gradientFill>
      </fill>
    </dxf>
    <dxf>
      <font>
        <b val="0"/>
        <i/>
        <color theme="9" tint="-0.24994659260841701"/>
      </font>
      <border>
        <left/>
        <right/>
        <top/>
        <bottom/>
        <vertical/>
        <horizontal/>
      </border>
    </dxf>
    <dxf>
      <font>
        <color theme="9" tint="0.59996337778862885"/>
      </font>
      <fill>
        <gradientFill type="path">
          <stop position="0">
            <color theme="0"/>
          </stop>
          <stop position="1">
            <color theme="9" tint="0.40000610370189521"/>
          </stop>
        </gradientFill>
      </fill>
    </dxf>
    <dxf>
      <font>
        <color theme="9" tint="0.59996337778862885"/>
      </font>
      <fill>
        <gradientFill type="path">
          <stop position="0">
            <color theme="0"/>
          </stop>
          <stop position="1">
            <color theme="9" tint="0.40000610370189521"/>
          </stop>
        </gradientFill>
      </fill>
    </dxf>
    <dxf>
      <font>
        <color theme="9" tint="0.59996337778862885"/>
      </font>
      <fill>
        <gradientFill type="path">
          <stop position="0">
            <color theme="0"/>
          </stop>
          <stop position="1">
            <color theme="9" tint="0.40000610370189521"/>
          </stop>
        </gradientFill>
      </fill>
    </dxf>
    <dxf>
      <font>
        <color theme="9" tint="0.59996337778862885"/>
      </font>
      <fill>
        <gradientFill type="path">
          <stop position="0">
            <color theme="0"/>
          </stop>
          <stop position="1">
            <color theme="9" tint="0.40000610370189521"/>
          </stop>
        </gradientFill>
      </fill>
    </dxf>
    <dxf>
      <font>
        <color theme="9" tint="0.59996337778862885"/>
      </font>
      <fill>
        <gradientFill type="path">
          <stop position="0">
            <color theme="0"/>
          </stop>
          <stop position="1">
            <color theme="9" tint="0.40000610370189521"/>
          </stop>
        </gradientFill>
      </fill>
    </dxf>
    <dxf>
      <font>
        <color theme="9" tint="0.59996337778862885"/>
      </font>
      <fill>
        <gradientFill type="path">
          <stop position="0">
            <color theme="0"/>
          </stop>
          <stop position="1">
            <color theme="9" tint="0.40000610370189521"/>
          </stop>
        </gradientFill>
      </fill>
    </dxf>
    <dxf>
      <font>
        <color theme="9" tint="0.59996337778862885"/>
      </font>
      <fill>
        <gradientFill type="path">
          <stop position="0">
            <color theme="0"/>
          </stop>
          <stop position="1">
            <color theme="9" tint="0.40000610370189521"/>
          </stop>
        </gradientFill>
      </fill>
    </dxf>
    <dxf>
      <font>
        <color theme="9" tint="0.59996337778862885"/>
      </font>
      <fill>
        <gradientFill type="path">
          <stop position="0">
            <color theme="0"/>
          </stop>
          <stop position="1">
            <color theme="9" tint="0.40000610370189521"/>
          </stop>
        </gradientFill>
      </fill>
    </dxf>
    <dxf>
      <font>
        <color theme="9" tint="0.59996337778862885"/>
      </font>
      <fill>
        <gradientFill type="path">
          <stop position="0">
            <color theme="0"/>
          </stop>
          <stop position="1">
            <color theme="9" tint="0.40000610370189521"/>
          </stop>
        </gradientFill>
      </fill>
    </dxf>
    <dxf>
      <font>
        <color theme="9" tint="0.59996337778862885"/>
      </font>
      <fill>
        <gradientFill type="path">
          <stop position="0">
            <color theme="0"/>
          </stop>
          <stop position="1">
            <color theme="9" tint="0.40000610370189521"/>
          </stop>
        </gradientFill>
      </fill>
    </dxf>
    <dxf>
      <font>
        <color theme="9" tint="0.59996337778862885"/>
      </font>
      <fill>
        <gradientFill type="path">
          <stop position="0">
            <color theme="0"/>
          </stop>
          <stop position="1">
            <color theme="9" tint="0.40000610370189521"/>
          </stop>
        </gradientFill>
      </fill>
    </dxf>
    <dxf>
      <font>
        <color theme="0"/>
      </font>
    </dxf>
    <dxf>
      <font>
        <color theme="9" tint="0.59996337778862885"/>
      </font>
      <fill>
        <gradientFill degree="90">
          <stop position="0">
            <color theme="0"/>
          </stop>
          <stop position="1">
            <color theme="9" tint="0.40000610370189521"/>
          </stop>
        </gradientFill>
      </fill>
      <border>
        <left style="thin">
          <color auto="1"/>
        </left>
        <right style="thin">
          <color auto="1"/>
        </right>
        <top style="thin">
          <color auto="1"/>
        </top>
        <bottom style="thin">
          <color auto="1"/>
        </bottom>
        <vertical/>
        <horizontal/>
      </border>
    </dxf>
    <dxf>
      <font>
        <color theme="9" tint="0.59996337778862885"/>
      </font>
      <fill>
        <gradientFill type="path">
          <stop position="0">
            <color theme="0"/>
          </stop>
          <stop position="1">
            <color theme="9" tint="0.40000610370189521"/>
          </stop>
        </gradientFill>
      </fill>
      <border>
        <left style="thin">
          <color auto="1"/>
        </left>
        <right style="thin">
          <color auto="1"/>
        </right>
        <top style="thin">
          <color auto="1"/>
        </top>
        <bottom style="thin">
          <color auto="1"/>
        </bottom>
        <vertical/>
        <horizontal/>
      </border>
    </dxf>
    <dxf>
      <font>
        <color theme="9" tint="0.59996337778862885"/>
      </font>
      <fill>
        <gradientFill type="path">
          <stop position="0">
            <color theme="0"/>
          </stop>
          <stop position="1">
            <color theme="9" tint="0.40000610370189521"/>
          </stop>
        </gradientFill>
      </fill>
      <border>
        <left style="thin">
          <color auto="1"/>
        </left>
        <right style="thin">
          <color auto="1"/>
        </right>
        <top style="thin">
          <color auto="1"/>
        </top>
        <bottom style="thin">
          <color auto="1"/>
        </bottom>
        <vertical/>
        <horizontal/>
      </border>
    </dxf>
    <dxf>
      <font>
        <color theme="9" tint="0.59996337778862885"/>
      </font>
      <fill>
        <gradientFill type="path">
          <stop position="0">
            <color theme="0"/>
          </stop>
          <stop position="1">
            <color theme="9" tint="0.40000610370189521"/>
          </stop>
        </gradientFill>
      </fill>
      <border>
        <left style="thin">
          <color auto="1"/>
        </left>
        <right style="thin">
          <color auto="1"/>
        </right>
        <top style="thin">
          <color auto="1"/>
        </top>
        <bottom style="thin">
          <color auto="1"/>
        </bottom>
        <vertical/>
        <horizontal/>
      </border>
    </dxf>
  </dxfs>
  <tableStyles count="0" defaultTableStyle="TableStyleMedium9" defaultPivotStyle="PivotStyleLight16"/>
  <colors>
    <mruColors>
      <color rgb="FFFFFF99"/>
      <color rgb="FF952B58"/>
    </mruColors>
  </colors>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png"/><Relationship Id="rId4" Type="http://schemas.openxmlformats.org/officeDocument/2006/relationships/hyperlink" Target="#Interface!A1"/></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8.png"/><Relationship Id="rId2" Type="http://schemas.openxmlformats.org/officeDocument/2006/relationships/image" Target="../media/image7.png"/><Relationship Id="rId1" Type="http://schemas.openxmlformats.org/officeDocument/2006/relationships/image" Target="../media/image6.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5.emf"/></Relationships>
</file>

<file path=xl/drawings/drawing1.xml><?xml version="1.0" encoding="utf-8"?>
<xdr:wsDr xmlns:xdr="http://schemas.openxmlformats.org/drawingml/2006/spreadsheetDrawing" xmlns:a="http://schemas.openxmlformats.org/drawingml/2006/main">
  <xdr:twoCellAnchor>
    <xdr:from>
      <xdr:col>0</xdr:col>
      <xdr:colOff>466726</xdr:colOff>
      <xdr:row>4</xdr:row>
      <xdr:rowOff>57151</xdr:rowOff>
    </xdr:from>
    <xdr:to>
      <xdr:col>8</xdr:col>
      <xdr:colOff>476250</xdr:colOff>
      <xdr:row>33</xdr:row>
      <xdr:rowOff>9525</xdr:rowOff>
    </xdr:to>
    <xdr:sp macro="" textlink="">
      <xdr:nvSpPr>
        <xdr:cNvPr id="4" name="ZoneTexte 3"/>
        <xdr:cNvSpPr txBox="1"/>
      </xdr:nvSpPr>
      <xdr:spPr>
        <a:xfrm>
          <a:off x="466726" y="819151"/>
          <a:ext cx="6105524" cy="5476874"/>
        </a:xfrm>
        <a:prstGeom prst="rect">
          <a:avLst/>
        </a:prstGeom>
        <a:solidFill>
          <a:schemeClr val="accent6">
            <a:lumMod val="40000"/>
            <a:lumOff val="60000"/>
          </a:schemeClr>
        </a:solidFill>
        <a:ln w="12700" cmpd="sng">
          <a:solidFill>
            <a:srgbClr val="C00000"/>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fr-FR" sz="1200">
            <a:solidFill>
              <a:schemeClr val="tx2">
                <a:lumMod val="60000"/>
                <a:lumOff val="40000"/>
              </a:schemeClr>
            </a:solidFill>
            <a:latin typeface="Times New Roman" pitchFamily="18" charset="0"/>
            <a:cs typeface="Times New Roman" pitchFamily="18" charset="0"/>
          </a:endParaRPr>
        </a:p>
        <a:p>
          <a:r>
            <a:rPr lang="fr-FR" sz="1200">
              <a:solidFill>
                <a:schemeClr val="tx2">
                  <a:lumMod val="60000"/>
                  <a:lumOff val="40000"/>
                </a:schemeClr>
              </a:solidFill>
              <a:latin typeface="Times New Roman" pitchFamily="18" charset="0"/>
              <a:cs typeface="Times New Roman" pitchFamily="18" charset="0"/>
            </a:rPr>
            <a:t>Objectif</a:t>
          </a:r>
          <a:r>
            <a:rPr lang="fr-FR" sz="1200" baseline="0">
              <a:solidFill>
                <a:schemeClr val="tx2">
                  <a:lumMod val="60000"/>
                  <a:lumOff val="40000"/>
                </a:schemeClr>
              </a:solidFill>
              <a:latin typeface="Times New Roman" pitchFamily="18" charset="0"/>
              <a:cs typeface="Times New Roman" pitchFamily="18" charset="0"/>
            </a:rPr>
            <a:t> :</a:t>
          </a:r>
          <a:endParaRPr lang="fr-FR" sz="1200">
            <a:solidFill>
              <a:schemeClr val="tx2">
                <a:lumMod val="60000"/>
                <a:lumOff val="40000"/>
              </a:schemeClr>
            </a:solidFill>
            <a:latin typeface="Times New Roman" pitchFamily="18" charset="0"/>
            <a:cs typeface="Times New Roman" pitchFamily="18" charset="0"/>
          </a:endParaRPr>
        </a:p>
        <a:p>
          <a:r>
            <a:rPr lang="fr-FR" sz="1200">
              <a:solidFill>
                <a:sysClr val="windowText" lastClr="000000"/>
              </a:solidFill>
              <a:latin typeface="Times New Roman" pitchFamily="18" charset="0"/>
              <a:cs typeface="Times New Roman" pitchFamily="18" charset="0"/>
            </a:rPr>
            <a:t>    Cet outil a pour but de dimensionner le</a:t>
          </a:r>
          <a:r>
            <a:rPr lang="fr-FR" sz="1200" baseline="0">
              <a:solidFill>
                <a:sysClr val="windowText" lastClr="000000"/>
              </a:solidFill>
              <a:latin typeface="Times New Roman" pitchFamily="18" charset="0"/>
              <a:cs typeface="Times New Roman" pitchFamily="18" charset="0"/>
            </a:rPr>
            <a:t> vase d'expansion des installations de chauffage, d'eau chaude sanitaire, ou de solaires thermiques. Il renvoie les deux paramètres principaux du dimensionnement, à savoir : la pression de gonflage relative et le volume total du vase.</a:t>
          </a:r>
        </a:p>
        <a:p>
          <a:endParaRPr lang="fr-FR" sz="1200" baseline="0">
            <a:solidFill>
              <a:sysClr val="windowText" lastClr="000000"/>
            </a:solidFill>
            <a:latin typeface="Times New Roman" pitchFamily="18" charset="0"/>
            <a:cs typeface="Times New Roman" pitchFamily="18" charset="0"/>
          </a:endParaRPr>
        </a:p>
        <a:p>
          <a:r>
            <a:rPr lang="fr-FR" sz="1200" baseline="0">
              <a:solidFill>
                <a:schemeClr val="tx2">
                  <a:lumMod val="60000"/>
                  <a:lumOff val="40000"/>
                </a:schemeClr>
              </a:solidFill>
              <a:latin typeface="Times New Roman" pitchFamily="18" charset="0"/>
              <a:cs typeface="Times New Roman" pitchFamily="18" charset="0"/>
            </a:rPr>
            <a:t>Mode d'utilisation</a:t>
          </a:r>
          <a:r>
            <a:rPr lang="fr-FR" sz="1200" baseline="0">
              <a:solidFill>
                <a:sysClr val="windowText" lastClr="000000"/>
              </a:solidFill>
              <a:latin typeface="Times New Roman" pitchFamily="18" charset="0"/>
              <a:cs typeface="Times New Roman" pitchFamily="18" charset="0"/>
            </a:rPr>
            <a:t> :</a:t>
          </a:r>
        </a:p>
        <a:p>
          <a:r>
            <a:rPr lang="fr-FR" sz="1200">
              <a:solidFill>
                <a:sysClr val="windowText" lastClr="000000"/>
              </a:solidFill>
              <a:latin typeface="Times New Roman" pitchFamily="18" charset="0"/>
              <a:cs typeface="Times New Roman" pitchFamily="18" charset="0"/>
            </a:rPr>
            <a:t>    Vous devez </a:t>
          </a:r>
          <a:r>
            <a:rPr lang="fr-FR" sz="1200" baseline="0">
              <a:solidFill>
                <a:sysClr val="windowText" lastClr="000000"/>
              </a:solidFill>
              <a:latin typeface="Times New Roman" pitchFamily="18" charset="0"/>
              <a:cs typeface="Times New Roman" pitchFamily="18" charset="0"/>
            </a:rPr>
            <a:t>introduire les paramètres qui caractérisent l'installation  dans la partie "Paramètres d'entrées".</a:t>
          </a:r>
        </a:p>
        <a:p>
          <a:r>
            <a:rPr lang="fr-FR" sz="1200" baseline="0">
              <a:solidFill>
                <a:sysClr val="windowText" lastClr="000000"/>
              </a:solidFill>
              <a:latin typeface="Times New Roman" pitchFamily="18" charset="0"/>
              <a:cs typeface="Times New Roman" pitchFamily="18" charset="0"/>
            </a:rPr>
            <a:t>En fonction de ces paramètres, l'outil évalue le coefficient et le volume de dilatation, le volume de réserve, la pression statique, la pression de vaporisation et la pression finale. Ensuite, il en déduit </a:t>
          </a:r>
          <a:r>
            <a:rPr lang="fr-FR" sz="1200" baseline="0">
              <a:solidFill>
                <a:schemeClr val="dk1"/>
              </a:solidFill>
              <a:latin typeface="Times New Roman" pitchFamily="18" charset="0"/>
              <a:ea typeface="+mn-ea"/>
              <a:cs typeface="Times New Roman" pitchFamily="18" charset="0"/>
            </a:rPr>
            <a:t>la pression de gonflage relative et le volume total du vase.</a:t>
          </a:r>
        </a:p>
        <a:p>
          <a:endParaRPr lang="fr-FR" sz="1200" baseline="0">
            <a:solidFill>
              <a:schemeClr val="dk1"/>
            </a:solidFill>
            <a:latin typeface="Times New Roman" pitchFamily="18" charset="0"/>
            <a:ea typeface="+mn-ea"/>
            <a:cs typeface="Times New Roman" pitchFamily="18" charset="0"/>
          </a:endParaRPr>
        </a:p>
        <a:p>
          <a:endParaRPr lang="fr-FR" sz="1200" baseline="0">
            <a:solidFill>
              <a:schemeClr val="dk1"/>
            </a:solidFill>
            <a:latin typeface="Times New Roman" pitchFamily="18" charset="0"/>
            <a:ea typeface="+mn-ea"/>
            <a:cs typeface="Times New Roman" pitchFamily="18" charset="0"/>
          </a:endParaRPr>
        </a:p>
        <a:p>
          <a:endParaRPr lang="fr-FR" sz="1200" baseline="0">
            <a:solidFill>
              <a:schemeClr val="dk1"/>
            </a:solidFill>
            <a:latin typeface="Times New Roman" pitchFamily="18" charset="0"/>
            <a:ea typeface="+mn-ea"/>
            <a:cs typeface="Times New Roman" pitchFamily="18" charset="0"/>
          </a:endParaRPr>
        </a:p>
        <a:p>
          <a:endParaRPr lang="fr-FR" sz="1200" baseline="0">
            <a:solidFill>
              <a:schemeClr val="dk1"/>
            </a:solidFill>
            <a:latin typeface="Times New Roman" pitchFamily="18" charset="0"/>
            <a:ea typeface="+mn-ea"/>
            <a:cs typeface="Times New Roman" pitchFamily="18" charset="0"/>
          </a:endParaRPr>
        </a:p>
        <a:p>
          <a:endParaRPr lang="fr-FR" sz="1200" baseline="0">
            <a:solidFill>
              <a:schemeClr val="dk1"/>
            </a:solidFill>
            <a:latin typeface="Times New Roman" pitchFamily="18" charset="0"/>
            <a:ea typeface="+mn-ea"/>
            <a:cs typeface="Times New Roman" pitchFamily="18" charset="0"/>
          </a:endParaRPr>
        </a:p>
        <a:p>
          <a:endParaRPr lang="fr-FR" sz="1200" baseline="0">
            <a:solidFill>
              <a:schemeClr val="dk1"/>
            </a:solidFill>
            <a:latin typeface="Times New Roman" pitchFamily="18" charset="0"/>
            <a:ea typeface="+mn-ea"/>
            <a:cs typeface="Times New Roman" pitchFamily="18" charset="0"/>
          </a:endParaRPr>
        </a:p>
        <a:p>
          <a:endParaRPr lang="fr-FR" sz="1200" baseline="0">
            <a:solidFill>
              <a:schemeClr val="dk1"/>
            </a:solidFill>
            <a:latin typeface="Times New Roman" pitchFamily="18" charset="0"/>
            <a:ea typeface="+mn-ea"/>
            <a:cs typeface="Times New Roman" pitchFamily="18" charset="0"/>
          </a:endParaRPr>
        </a:p>
        <a:p>
          <a:endParaRPr lang="fr-FR" sz="1200" baseline="0">
            <a:solidFill>
              <a:schemeClr val="dk1"/>
            </a:solidFill>
            <a:latin typeface="Times New Roman" pitchFamily="18" charset="0"/>
            <a:ea typeface="+mn-ea"/>
            <a:cs typeface="Times New Roman" pitchFamily="18" charset="0"/>
          </a:endParaRPr>
        </a:p>
        <a:p>
          <a:endParaRPr lang="fr-FR" sz="1200" baseline="0">
            <a:solidFill>
              <a:schemeClr val="dk1"/>
            </a:solidFill>
            <a:latin typeface="Times New Roman" pitchFamily="18" charset="0"/>
            <a:ea typeface="+mn-ea"/>
            <a:cs typeface="Times New Roman" pitchFamily="18" charset="0"/>
          </a:endParaRPr>
        </a:p>
        <a:p>
          <a:endParaRPr lang="fr-FR" sz="1200" baseline="0">
            <a:solidFill>
              <a:schemeClr val="dk1"/>
            </a:solidFill>
            <a:latin typeface="Times New Roman" pitchFamily="18" charset="0"/>
            <a:ea typeface="+mn-ea"/>
            <a:cs typeface="Times New Roman" pitchFamily="18" charset="0"/>
          </a:endParaRPr>
        </a:p>
        <a:p>
          <a:endParaRPr lang="fr-FR" sz="1200" baseline="0">
            <a:solidFill>
              <a:schemeClr val="dk1"/>
            </a:solidFill>
            <a:latin typeface="Times New Roman" pitchFamily="18" charset="0"/>
            <a:ea typeface="+mn-ea"/>
            <a:cs typeface="Times New Roman" pitchFamily="18" charset="0"/>
          </a:endParaRPr>
        </a:p>
        <a:p>
          <a:endParaRPr lang="fr-FR" sz="1200" baseline="0">
            <a:solidFill>
              <a:schemeClr val="dk1"/>
            </a:solidFill>
            <a:latin typeface="Times New Roman" pitchFamily="18" charset="0"/>
            <a:ea typeface="+mn-ea"/>
            <a:cs typeface="Times New Roman" pitchFamily="18" charset="0"/>
          </a:endParaRPr>
        </a:p>
        <a:p>
          <a:endParaRPr lang="fr-FR" sz="1200" baseline="0">
            <a:solidFill>
              <a:schemeClr val="dk1"/>
            </a:solidFill>
            <a:latin typeface="Times New Roman" pitchFamily="18" charset="0"/>
            <a:ea typeface="+mn-ea"/>
            <a:cs typeface="Times New Roman" pitchFamily="18" charset="0"/>
          </a:endParaRPr>
        </a:p>
        <a:p>
          <a:endParaRPr lang="fr-FR" sz="1200" baseline="0">
            <a:solidFill>
              <a:schemeClr val="dk1"/>
            </a:solidFill>
            <a:latin typeface="Times New Roman" pitchFamily="18" charset="0"/>
            <a:ea typeface="+mn-ea"/>
            <a:cs typeface="Times New Roman" pitchFamily="18" charset="0"/>
          </a:endParaRPr>
        </a:p>
        <a:p>
          <a:endParaRPr lang="fr-FR" sz="1200" baseline="0">
            <a:solidFill>
              <a:schemeClr val="dk1"/>
            </a:solidFill>
            <a:latin typeface="Times New Roman" pitchFamily="18" charset="0"/>
            <a:ea typeface="+mn-ea"/>
            <a:cs typeface="Times New Roman" pitchFamily="18" charset="0"/>
          </a:endParaRPr>
        </a:p>
        <a:p>
          <a:endParaRPr lang="fr-FR" sz="1100" baseline="0">
            <a:solidFill>
              <a:schemeClr val="dk1"/>
            </a:solidFill>
            <a:latin typeface="Times New Roman" pitchFamily="18" charset="0"/>
            <a:ea typeface="+mn-ea"/>
            <a:cs typeface="Times New Roman" pitchFamily="18" charset="0"/>
          </a:endParaRPr>
        </a:p>
        <a:p>
          <a:pPr marL="0" marR="0" indent="0" defTabSz="914400" eaLnBrk="1" fontAlgn="auto" latinLnBrk="0" hangingPunct="1">
            <a:lnSpc>
              <a:spcPct val="100000"/>
            </a:lnSpc>
            <a:spcBef>
              <a:spcPts val="0"/>
            </a:spcBef>
            <a:spcAft>
              <a:spcPts val="0"/>
            </a:spcAft>
            <a:buClrTx/>
            <a:buSzTx/>
            <a:buFontTx/>
            <a:buNone/>
            <a:tabLst/>
            <a:defRPr/>
          </a:pPr>
          <a:r>
            <a:rPr lang="fr-FR" sz="1100" baseline="0">
              <a:solidFill>
                <a:schemeClr val="dk1"/>
              </a:solidFill>
              <a:latin typeface="Times New Roman" pitchFamily="18" charset="0"/>
              <a:ea typeface="+mn-ea"/>
              <a:cs typeface="Times New Roman" pitchFamily="18" charset="0"/>
            </a:rPr>
            <a:t>Pour toutes remarques, suggestions ou critiques, n'hésitez pas à nous contacter par l'adresse mail suivante: </a:t>
          </a:r>
          <a:r>
            <a:rPr lang="fr-FR" sz="1100" u="sng" baseline="0">
              <a:solidFill>
                <a:schemeClr val="tx2">
                  <a:lumMod val="60000"/>
                  <a:lumOff val="40000"/>
                </a:schemeClr>
              </a:solidFill>
              <a:latin typeface="Times New Roman" pitchFamily="18" charset="0"/>
              <a:ea typeface="+mn-ea"/>
              <a:cs typeface="Times New Roman" pitchFamily="18" charset="0"/>
            </a:rPr>
            <a:t>contact@costic.com</a:t>
          </a:r>
          <a:endParaRPr lang="fr-FR" sz="1100">
            <a:solidFill>
              <a:schemeClr val="tx2">
                <a:lumMod val="60000"/>
                <a:lumOff val="40000"/>
              </a:schemeClr>
            </a:solidFill>
            <a:latin typeface="Times New Roman" pitchFamily="18" charset="0"/>
            <a:ea typeface="+mn-ea"/>
            <a:cs typeface="Times New Roman" pitchFamily="18" charset="0"/>
          </a:endParaRPr>
        </a:p>
        <a:p>
          <a:endParaRPr lang="fr-FR" sz="1200">
            <a:solidFill>
              <a:sysClr val="windowText" lastClr="000000"/>
            </a:solidFill>
            <a:latin typeface="Times New Roman" pitchFamily="18" charset="0"/>
            <a:cs typeface="Times New Roman" pitchFamily="18" charset="0"/>
          </a:endParaRPr>
        </a:p>
      </xdr:txBody>
    </xdr:sp>
    <xdr:clientData/>
  </xdr:twoCellAnchor>
  <xdr:twoCellAnchor editAs="oneCell">
    <xdr:from>
      <xdr:col>0</xdr:col>
      <xdr:colOff>495300</xdr:colOff>
      <xdr:row>1</xdr:row>
      <xdr:rowOff>104776</xdr:rowOff>
    </xdr:from>
    <xdr:to>
      <xdr:col>1</xdr:col>
      <xdr:colOff>704849</xdr:colOff>
      <xdr:row>4</xdr:row>
      <xdr:rowOff>9526</xdr:rowOff>
    </xdr:to>
    <xdr:pic>
      <xdr:nvPicPr>
        <xdr:cNvPr id="6" name="Picture 4" descr="Accueil"/>
        <xdr:cNvPicPr>
          <a:picLocks noChangeAspect="1" noChangeArrowheads="1"/>
        </xdr:cNvPicPr>
      </xdr:nvPicPr>
      <xdr:blipFill>
        <a:blip xmlns:r="http://schemas.openxmlformats.org/officeDocument/2006/relationships" r:embed="rId1" cstate="print"/>
        <a:srcRect/>
        <a:stretch>
          <a:fillRect/>
        </a:stretch>
      </xdr:blipFill>
      <xdr:spPr bwMode="auto">
        <a:xfrm>
          <a:off x="495300" y="295276"/>
          <a:ext cx="971549" cy="476250"/>
        </a:xfrm>
        <a:prstGeom prst="rect">
          <a:avLst/>
        </a:prstGeom>
        <a:noFill/>
        <a:ln w="19050">
          <a:solidFill>
            <a:srgbClr val="C00000"/>
          </a:solidFill>
        </a:ln>
      </xdr:spPr>
    </xdr:pic>
    <xdr:clientData/>
  </xdr:twoCellAnchor>
  <xdr:twoCellAnchor>
    <xdr:from>
      <xdr:col>1</xdr:col>
      <xdr:colOff>733422</xdr:colOff>
      <xdr:row>1</xdr:row>
      <xdr:rowOff>95250</xdr:rowOff>
    </xdr:from>
    <xdr:to>
      <xdr:col>10</xdr:col>
      <xdr:colOff>438150</xdr:colOff>
      <xdr:row>4</xdr:row>
      <xdr:rowOff>28875</xdr:rowOff>
    </xdr:to>
    <xdr:sp macro="" textlink="">
      <xdr:nvSpPr>
        <xdr:cNvPr id="7" name="ZoneTexte 6"/>
        <xdr:cNvSpPr txBox="1"/>
      </xdr:nvSpPr>
      <xdr:spPr>
        <a:xfrm>
          <a:off x="1495422" y="285750"/>
          <a:ext cx="6562728" cy="505125"/>
        </a:xfrm>
        <a:prstGeom prst="rect">
          <a:avLst/>
        </a:prstGeom>
        <a:solidFill>
          <a:schemeClr val="accent2">
            <a:lumMod val="75000"/>
          </a:schemeClr>
        </a:solidFill>
        <a:ln w="9525" cmpd="sng">
          <a:noFill/>
        </a:ln>
        <a:effectLst/>
        <a:scene3d>
          <a:camera prst="orthographicFront">
            <a:rot lat="0" lon="0" rev="0"/>
          </a:camera>
          <a:lightRig rig="glow" dir="t">
            <a:rot lat="0" lon="0" rev="14100000"/>
          </a:lightRig>
        </a:scene3d>
        <a:sp3d prstMaterial="softEdge">
          <a:bevelT w="127000" prst="artDeco"/>
        </a:sp3d>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fr-FR" sz="1400">
              <a:solidFill>
                <a:srgbClr val="FFFF00"/>
              </a:solidFill>
              <a:latin typeface="Times New Roman" pitchFamily="18" charset="0"/>
              <a:cs typeface="Times New Roman" pitchFamily="18" charset="0"/>
            </a:rPr>
            <a:t>Dimensionnement du vase d'expansion</a:t>
          </a:r>
        </a:p>
      </xdr:txBody>
    </xdr:sp>
    <xdr:clientData/>
  </xdr:twoCellAnchor>
  <xdr:twoCellAnchor editAs="oneCell">
    <xdr:from>
      <xdr:col>6</xdr:col>
      <xdr:colOff>257175</xdr:colOff>
      <xdr:row>18</xdr:row>
      <xdr:rowOff>104775</xdr:rowOff>
    </xdr:from>
    <xdr:to>
      <xdr:col>8</xdr:col>
      <xdr:colOff>95250</xdr:colOff>
      <xdr:row>26</xdr:row>
      <xdr:rowOff>152400</xdr:rowOff>
    </xdr:to>
    <xdr:pic>
      <xdr:nvPicPr>
        <xdr:cNvPr id="3075" name="Picture 3" descr="http://www.eko-fil.com/13-53-large/vase-d-expansion-5l.jpg"/>
        <xdr:cNvPicPr>
          <a:picLocks noChangeAspect="1" noChangeArrowheads="1"/>
        </xdr:cNvPicPr>
      </xdr:nvPicPr>
      <xdr:blipFill>
        <a:blip xmlns:r="http://schemas.openxmlformats.org/officeDocument/2006/relationships" r:embed="rId2" cstate="print"/>
        <a:srcRect/>
        <a:stretch>
          <a:fillRect/>
        </a:stretch>
      </xdr:blipFill>
      <xdr:spPr bwMode="auto">
        <a:xfrm>
          <a:off x="4829175" y="3533775"/>
          <a:ext cx="1362075" cy="1571625"/>
        </a:xfrm>
        <a:prstGeom prst="rect">
          <a:avLst/>
        </a:prstGeom>
        <a:noFill/>
        <a:ln>
          <a:noFill/>
        </a:ln>
      </xdr:spPr>
    </xdr:pic>
    <xdr:clientData/>
  </xdr:twoCellAnchor>
  <xdr:twoCellAnchor>
    <xdr:from>
      <xdr:col>4</xdr:col>
      <xdr:colOff>114300</xdr:colOff>
      <xdr:row>18</xdr:row>
      <xdr:rowOff>28575</xdr:rowOff>
    </xdr:from>
    <xdr:to>
      <xdr:col>6</xdr:col>
      <xdr:colOff>200025</xdr:colOff>
      <xdr:row>20</xdr:row>
      <xdr:rowOff>114300</xdr:rowOff>
    </xdr:to>
    <xdr:sp macro="" textlink="">
      <xdr:nvSpPr>
        <xdr:cNvPr id="8" name="ZoneTexte 7"/>
        <xdr:cNvSpPr txBox="1"/>
      </xdr:nvSpPr>
      <xdr:spPr>
        <a:xfrm>
          <a:off x="3162300" y="3457575"/>
          <a:ext cx="1609725" cy="466725"/>
        </a:xfrm>
        <a:prstGeom prst="rect">
          <a:avLst/>
        </a:prstGeom>
        <a:solidFill>
          <a:schemeClr val="accent6">
            <a:lumMod val="40000"/>
            <a:lumOff val="60000"/>
          </a:schemeClr>
        </a:solidFill>
        <a:ln w="9525" cmpd="sng">
          <a:solidFill>
            <a:schemeClr val="accent6">
              <a:lumMod val="40000"/>
              <a:lumOff val="6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fr-FR" sz="1100">
              <a:latin typeface="Times New Roman" pitchFamily="18" charset="0"/>
              <a:cs typeface="Times New Roman" pitchFamily="18" charset="0"/>
            </a:rPr>
            <a:t>Raccordement</a:t>
          </a:r>
          <a:r>
            <a:rPr lang="fr-FR" sz="1100" baseline="0">
              <a:latin typeface="Times New Roman" pitchFamily="18" charset="0"/>
              <a:cs typeface="Times New Roman" pitchFamily="18" charset="0"/>
            </a:rPr>
            <a:t> au circuit de remplissage</a:t>
          </a:r>
          <a:endParaRPr lang="fr-FR" sz="1100">
            <a:latin typeface="Times New Roman" pitchFamily="18" charset="0"/>
            <a:cs typeface="Times New Roman" pitchFamily="18" charset="0"/>
          </a:endParaRPr>
        </a:p>
      </xdr:txBody>
    </xdr:sp>
    <xdr:clientData/>
  </xdr:twoCellAnchor>
  <xdr:twoCellAnchor>
    <xdr:from>
      <xdr:col>6</xdr:col>
      <xdr:colOff>200025</xdr:colOff>
      <xdr:row>18</xdr:row>
      <xdr:rowOff>104775</xdr:rowOff>
    </xdr:from>
    <xdr:to>
      <xdr:col>7</xdr:col>
      <xdr:colOff>147638</xdr:colOff>
      <xdr:row>19</xdr:row>
      <xdr:rowOff>71438</xdr:rowOff>
    </xdr:to>
    <xdr:cxnSp macro="">
      <xdr:nvCxnSpPr>
        <xdr:cNvPr id="10" name="Connecteur droit avec flèche 9"/>
        <xdr:cNvCxnSpPr>
          <a:stCxn id="8" idx="3"/>
        </xdr:cNvCxnSpPr>
      </xdr:nvCxnSpPr>
      <xdr:spPr>
        <a:xfrm flipV="1">
          <a:off x="4772025" y="3533775"/>
          <a:ext cx="709613" cy="157163"/>
        </a:xfrm>
        <a:prstGeom prst="straightConnector1">
          <a:avLst/>
        </a:prstGeom>
        <a:ln>
          <a:solidFill>
            <a:srgbClr val="C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57150</xdr:colOff>
      <xdr:row>25</xdr:row>
      <xdr:rowOff>176214</xdr:rowOff>
    </xdr:from>
    <xdr:to>
      <xdr:col>7</xdr:col>
      <xdr:colOff>147638</xdr:colOff>
      <xdr:row>26</xdr:row>
      <xdr:rowOff>152400</xdr:rowOff>
    </xdr:to>
    <xdr:cxnSp macro="">
      <xdr:nvCxnSpPr>
        <xdr:cNvPr id="15" name="Connecteur droit avec flèche 14"/>
        <xdr:cNvCxnSpPr>
          <a:stCxn id="17" idx="3"/>
        </xdr:cNvCxnSpPr>
      </xdr:nvCxnSpPr>
      <xdr:spPr>
        <a:xfrm>
          <a:off x="4629150" y="4938714"/>
          <a:ext cx="852488" cy="166686"/>
        </a:xfrm>
        <a:prstGeom prst="straightConnector1">
          <a:avLst/>
        </a:prstGeom>
        <a:ln>
          <a:solidFill>
            <a:srgbClr val="C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247650</xdr:colOff>
      <xdr:row>25</xdr:row>
      <xdr:rowOff>28577</xdr:rowOff>
    </xdr:from>
    <xdr:to>
      <xdr:col>6</xdr:col>
      <xdr:colOff>57150</xdr:colOff>
      <xdr:row>26</xdr:row>
      <xdr:rowOff>133350</xdr:rowOff>
    </xdr:to>
    <xdr:sp macro="" textlink="">
      <xdr:nvSpPr>
        <xdr:cNvPr id="17" name="ZoneTexte 16"/>
        <xdr:cNvSpPr txBox="1"/>
      </xdr:nvSpPr>
      <xdr:spPr>
        <a:xfrm>
          <a:off x="3295650" y="4791077"/>
          <a:ext cx="1333500" cy="295273"/>
        </a:xfrm>
        <a:prstGeom prst="rect">
          <a:avLst/>
        </a:prstGeom>
        <a:solidFill>
          <a:schemeClr val="accent6">
            <a:lumMod val="40000"/>
            <a:lumOff val="60000"/>
          </a:schemeClr>
        </a:solidFill>
        <a:ln w="9525" cmpd="sng">
          <a:solidFill>
            <a:schemeClr val="accent6">
              <a:lumMod val="40000"/>
              <a:lumOff val="6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fr-FR" sz="1100">
              <a:latin typeface="Times New Roman" pitchFamily="18" charset="0"/>
              <a:cs typeface="Times New Roman" pitchFamily="18" charset="0"/>
            </a:rPr>
            <a:t>Valve de gonflage</a:t>
          </a:r>
        </a:p>
      </xdr:txBody>
    </xdr:sp>
    <xdr:clientData/>
  </xdr:twoCellAnchor>
  <xdr:twoCellAnchor editAs="oneCell">
    <xdr:from>
      <xdr:col>1</xdr:col>
      <xdr:colOff>9525</xdr:colOff>
      <xdr:row>16</xdr:row>
      <xdr:rowOff>152400</xdr:rowOff>
    </xdr:from>
    <xdr:to>
      <xdr:col>3</xdr:col>
      <xdr:colOff>171450</xdr:colOff>
      <xdr:row>27</xdr:row>
      <xdr:rowOff>85725</xdr:rowOff>
    </xdr:to>
    <xdr:pic>
      <xdr:nvPicPr>
        <xdr:cNvPr id="3076" name="Picture 4" descr="http://annuaire.xpair.com/images/logiciels/vase_2.jpg"/>
        <xdr:cNvPicPr>
          <a:picLocks noChangeAspect="1" noChangeArrowheads="1"/>
        </xdr:cNvPicPr>
      </xdr:nvPicPr>
      <xdr:blipFill>
        <a:blip xmlns:r="http://schemas.openxmlformats.org/officeDocument/2006/relationships" r:embed="rId3" cstate="print"/>
        <a:srcRect/>
        <a:stretch>
          <a:fillRect/>
        </a:stretch>
      </xdr:blipFill>
      <xdr:spPr bwMode="auto">
        <a:xfrm>
          <a:off x="1533525" y="3771900"/>
          <a:ext cx="1685925" cy="2028825"/>
        </a:xfrm>
        <a:prstGeom prst="rect">
          <a:avLst/>
        </a:prstGeom>
        <a:noFill/>
      </xdr:spPr>
    </xdr:pic>
    <xdr:clientData/>
  </xdr:twoCellAnchor>
  <xdr:twoCellAnchor>
    <xdr:from>
      <xdr:col>3</xdr:col>
      <xdr:colOff>457200</xdr:colOff>
      <xdr:row>21</xdr:row>
      <xdr:rowOff>1</xdr:rowOff>
    </xdr:from>
    <xdr:to>
      <xdr:col>5</xdr:col>
      <xdr:colOff>542925</xdr:colOff>
      <xdr:row>23</xdr:row>
      <xdr:rowOff>85726</xdr:rowOff>
    </xdr:to>
    <xdr:sp macro="" textlink="">
      <xdr:nvSpPr>
        <xdr:cNvPr id="35" name="ZoneTexte 34"/>
        <xdr:cNvSpPr txBox="1"/>
      </xdr:nvSpPr>
      <xdr:spPr>
        <a:xfrm>
          <a:off x="2743200" y="4000501"/>
          <a:ext cx="1609725" cy="466725"/>
        </a:xfrm>
        <a:prstGeom prst="rect">
          <a:avLst/>
        </a:prstGeom>
        <a:solidFill>
          <a:schemeClr val="accent6">
            <a:lumMod val="40000"/>
            <a:lumOff val="60000"/>
          </a:schemeClr>
        </a:solidFill>
        <a:ln w="9525" cmpd="sng">
          <a:solidFill>
            <a:schemeClr val="accent6">
              <a:lumMod val="40000"/>
              <a:lumOff val="6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fr-FR" sz="1100">
              <a:latin typeface="Times New Roman" pitchFamily="18" charset="0"/>
              <a:cs typeface="Times New Roman" pitchFamily="18" charset="0"/>
            </a:rPr>
            <a:t>Hauteur géométrique de l'installation</a:t>
          </a:r>
        </a:p>
      </xdr:txBody>
    </xdr:sp>
    <xdr:clientData/>
  </xdr:twoCellAnchor>
  <xdr:twoCellAnchor>
    <xdr:from>
      <xdr:col>3</xdr:col>
      <xdr:colOff>123825</xdr:colOff>
      <xdr:row>22</xdr:row>
      <xdr:rowOff>4763</xdr:rowOff>
    </xdr:from>
    <xdr:to>
      <xdr:col>3</xdr:col>
      <xdr:colOff>457200</xdr:colOff>
      <xdr:row>22</xdr:row>
      <xdr:rowOff>42864</xdr:rowOff>
    </xdr:to>
    <xdr:cxnSp macro="">
      <xdr:nvCxnSpPr>
        <xdr:cNvPr id="36" name="Connecteur droit avec flèche 35"/>
        <xdr:cNvCxnSpPr>
          <a:stCxn id="35" idx="1"/>
        </xdr:cNvCxnSpPr>
      </xdr:nvCxnSpPr>
      <xdr:spPr>
        <a:xfrm flipH="1" flipV="1">
          <a:off x="2409825" y="4195763"/>
          <a:ext cx="333375" cy="38101"/>
        </a:xfrm>
        <a:prstGeom prst="straightConnector1">
          <a:avLst/>
        </a:prstGeom>
        <a:ln>
          <a:solidFill>
            <a:srgbClr val="C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495300</xdr:colOff>
      <xdr:row>4</xdr:row>
      <xdr:rowOff>66675</xdr:rowOff>
    </xdr:from>
    <xdr:to>
      <xdr:col>10</xdr:col>
      <xdr:colOff>438150</xdr:colOff>
      <xdr:row>33</xdr:row>
      <xdr:rowOff>9525</xdr:rowOff>
    </xdr:to>
    <xdr:sp macro="" textlink="">
      <xdr:nvSpPr>
        <xdr:cNvPr id="16" name="ZoneTexte 15"/>
        <xdr:cNvSpPr txBox="1"/>
      </xdr:nvSpPr>
      <xdr:spPr>
        <a:xfrm>
          <a:off x="6591300" y="828675"/>
          <a:ext cx="1466850" cy="5467350"/>
        </a:xfrm>
        <a:prstGeom prst="rect">
          <a:avLst/>
        </a:prstGeom>
        <a:gradFill flip="none" rotWithShape="1">
          <a:gsLst>
            <a:gs pos="0">
              <a:srgbClr val="DCEBF5"/>
            </a:gs>
            <a:gs pos="8000">
              <a:srgbClr val="83A7C3"/>
            </a:gs>
            <a:gs pos="13000">
              <a:srgbClr val="768FB9"/>
            </a:gs>
            <a:gs pos="21001">
              <a:srgbClr val="83A7C3"/>
            </a:gs>
            <a:gs pos="52000">
              <a:srgbClr val="FFFFFF"/>
            </a:gs>
            <a:gs pos="56000">
              <a:srgbClr val="9C6563"/>
            </a:gs>
            <a:gs pos="58000">
              <a:srgbClr val="80302D"/>
            </a:gs>
            <a:gs pos="71001">
              <a:srgbClr val="C0524E"/>
            </a:gs>
            <a:gs pos="94000">
              <a:srgbClr val="EBDAD4"/>
            </a:gs>
            <a:gs pos="100000">
              <a:srgbClr val="55261C"/>
            </a:gs>
          </a:gsLst>
          <a:lin ang="8100000" scaled="1"/>
          <a:tileRect/>
        </a:gradFill>
        <a:ln w="19050" cmpd="sng">
          <a:solidFill>
            <a:srgbClr val="C00000"/>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fr-FR" sz="1100"/>
        </a:p>
      </xdr:txBody>
    </xdr:sp>
    <xdr:clientData/>
  </xdr:twoCellAnchor>
  <xdr:twoCellAnchor>
    <xdr:from>
      <xdr:col>8</xdr:col>
      <xdr:colOff>552450</xdr:colOff>
      <xdr:row>4</xdr:row>
      <xdr:rowOff>104775</xdr:rowOff>
    </xdr:from>
    <xdr:to>
      <xdr:col>10</xdr:col>
      <xdr:colOff>381000</xdr:colOff>
      <xdr:row>6</xdr:row>
      <xdr:rowOff>0</xdr:rowOff>
    </xdr:to>
    <xdr:sp macro="" textlink="">
      <xdr:nvSpPr>
        <xdr:cNvPr id="19" name="Rectangle à coins arrondis 18">
          <a:hlinkClick xmlns:r="http://schemas.openxmlformats.org/officeDocument/2006/relationships" r:id="rId4"/>
        </xdr:cNvPr>
        <xdr:cNvSpPr/>
      </xdr:nvSpPr>
      <xdr:spPr>
        <a:xfrm>
          <a:off x="6648450" y="866775"/>
          <a:ext cx="1352550" cy="276225"/>
        </a:xfrm>
        <a:prstGeom prst="roundRect">
          <a:avLst/>
        </a:prstGeom>
        <a:gradFill>
          <a:gsLst>
            <a:gs pos="0">
              <a:srgbClr val="8488C4">
                <a:alpha val="84000"/>
              </a:srgbClr>
            </a:gs>
            <a:gs pos="53000">
              <a:srgbClr val="D4DEFF"/>
            </a:gs>
            <a:gs pos="83000">
              <a:srgbClr val="D4DEFF"/>
            </a:gs>
            <a:gs pos="100000">
              <a:srgbClr val="96AB94"/>
            </a:gs>
          </a:gsLst>
          <a:lin ang="5400000" scaled="0"/>
        </a:gradFill>
        <a:ln>
          <a:solidFill>
            <a:schemeClr val="accent1">
              <a:lumMod val="20000"/>
              <a:lumOff val="8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fr-FR" sz="1100" b="1">
              <a:solidFill>
                <a:sysClr val="windowText" lastClr="000000"/>
              </a:solidFill>
              <a:latin typeface="Times New Roman" pitchFamily="18" charset="0"/>
              <a:cs typeface="Times New Roman" pitchFamily="18" charset="0"/>
            </a:rPr>
            <a:t>Interface</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495299</xdr:colOff>
      <xdr:row>4</xdr:row>
      <xdr:rowOff>0</xdr:rowOff>
    </xdr:from>
    <xdr:to>
      <xdr:col>3</xdr:col>
      <xdr:colOff>266699</xdr:colOff>
      <xdr:row>25</xdr:row>
      <xdr:rowOff>0</xdr:rowOff>
    </xdr:to>
    <xdr:sp macro="" textlink="">
      <xdr:nvSpPr>
        <xdr:cNvPr id="3" name="Rectangle à coins arrondis 2"/>
        <xdr:cNvSpPr/>
      </xdr:nvSpPr>
      <xdr:spPr>
        <a:xfrm>
          <a:off x="1257299" y="762000"/>
          <a:ext cx="4581525" cy="5200650"/>
        </a:xfrm>
        <a:prstGeom prst="roundRect">
          <a:avLst/>
        </a:prstGeom>
        <a:noFill/>
        <a:ln>
          <a:solidFill>
            <a:srgbClr val="952B58"/>
          </a:solidFill>
          <a:prstDash val="dashDot"/>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3</xdr:col>
      <xdr:colOff>304801</xdr:colOff>
      <xdr:row>4</xdr:row>
      <xdr:rowOff>9526</xdr:rowOff>
    </xdr:from>
    <xdr:to>
      <xdr:col>9</xdr:col>
      <xdr:colOff>161925</xdr:colOff>
      <xdr:row>25</xdr:row>
      <xdr:rowOff>9525</xdr:rowOff>
    </xdr:to>
    <xdr:sp macro="" textlink="">
      <xdr:nvSpPr>
        <xdr:cNvPr id="4" name="Rectangle à coins arrondis 3"/>
        <xdr:cNvSpPr/>
      </xdr:nvSpPr>
      <xdr:spPr>
        <a:xfrm>
          <a:off x="5695951" y="771526"/>
          <a:ext cx="4752974" cy="5200649"/>
        </a:xfrm>
        <a:prstGeom prst="roundRect">
          <a:avLst/>
        </a:prstGeom>
        <a:noFill/>
        <a:ln>
          <a:solidFill>
            <a:srgbClr val="952B58"/>
          </a:solidFill>
          <a:prstDash val="dashDot"/>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xdr:col>
      <xdr:colOff>28575</xdr:colOff>
      <xdr:row>4</xdr:row>
      <xdr:rowOff>190500</xdr:rowOff>
    </xdr:from>
    <xdr:to>
      <xdr:col>1</xdr:col>
      <xdr:colOff>2505075</xdr:colOff>
      <xdr:row>6</xdr:row>
      <xdr:rowOff>180975</xdr:rowOff>
    </xdr:to>
    <xdr:sp macro="" textlink="">
      <xdr:nvSpPr>
        <xdr:cNvPr id="5" name="Rectangle à coins arrondis 4"/>
        <xdr:cNvSpPr/>
      </xdr:nvSpPr>
      <xdr:spPr>
        <a:xfrm>
          <a:off x="1552575" y="762000"/>
          <a:ext cx="2476500" cy="485775"/>
        </a:xfrm>
        <a:prstGeom prst="roundRect">
          <a:avLst/>
        </a:prstGeom>
        <a:solidFill>
          <a:srgbClr val="C00000"/>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fr-FR" sz="1100">
              <a:solidFill>
                <a:srgbClr val="FFFF00"/>
              </a:solidFill>
              <a:latin typeface="Times New Roman" pitchFamily="18" charset="0"/>
              <a:cs typeface="Times New Roman" pitchFamily="18" charset="0"/>
            </a:rPr>
            <a:t>Paramètres d'entrées </a:t>
          </a:r>
        </a:p>
      </xdr:txBody>
    </xdr:sp>
    <xdr:clientData/>
  </xdr:twoCellAnchor>
  <xdr:twoCellAnchor>
    <xdr:from>
      <xdr:col>5</xdr:col>
      <xdr:colOff>0</xdr:colOff>
      <xdr:row>4</xdr:row>
      <xdr:rowOff>200025</xdr:rowOff>
    </xdr:from>
    <xdr:to>
      <xdr:col>6</xdr:col>
      <xdr:colOff>47625</xdr:colOff>
      <xdr:row>6</xdr:row>
      <xdr:rowOff>190500</xdr:rowOff>
    </xdr:to>
    <xdr:sp macro="" textlink="">
      <xdr:nvSpPr>
        <xdr:cNvPr id="6" name="Rectangle à coins arrondis 5"/>
        <xdr:cNvSpPr/>
      </xdr:nvSpPr>
      <xdr:spPr>
        <a:xfrm>
          <a:off x="6686550" y="771525"/>
          <a:ext cx="1809750" cy="485775"/>
        </a:xfrm>
        <a:prstGeom prst="roundRect">
          <a:avLst/>
        </a:prstGeom>
        <a:solidFill>
          <a:srgbClr val="C00000"/>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fr-FR" sz="1100">
              <a:solidFill>
                <a:srgbClr val="FFFF00"/>
              </a:solidFill>
              <a:latin typeface="Times New Roman" pitchFamily="18" charset="0"/>
              <a:cs typeface="Times New Roman" pitchFamily="18" charset="0"/>
            </a:rPr>
            <a:t>Résultats</a:t>
          </a:r>
        </a:p>
      </xdr:txBody>
    </xdr:sp>
    <xdr:clientData/>
  </xdr:twoCellAnchor>
  <xdr:twoCellAnchor editAs="oneCell">
    <xdr:from>
      <xdr:col>0</xdr:col>
      <xdr:colOff>485776</xdr:colOff>
      <xdr:row>1</xdr:row>
      <xdr:rowOff>0</xdr:rowOff>
    </xdr:from>
    <xdr:to>
      <xdr:col>1</xdr:col>
      <xdr:colOff>657225</xdr:colOff>
      <xdr:row>3</xdr:row>
      <xdr:rowOff>95250</xdr:rowOff>
    </xdr:to>
    <xdr:pic>
      <xdr:nvPicPr>
        <xdr:cNvPr id="7" name="Picture 4" descr="Accueil"/>
        <xdr:cNvPicPr>
          <a:picLocks noChangeAspect="1" noChangeArrowheads="1"/>
        </xdr:cNvPicPr>
      </xdr:nvPicPr>
      <xdr:blipFill>
        <a:blip xmlns:r="http://schemas.openxmlformats.org/officeDocument/2006/relationships" r:embed="rId1" cstate="print"/>
        <a:srcRect/>
        <a:stretch>
          <a:fillRect/>
        </a:stretch>
      </xdr:blipFill>
      <xdr:spPr bwMode="auto">
        <a:xfrm>
          <a:off x="1247776" y="190500"/>
          <a:ext cx="933449" cy="476250"/>
        </a:xfrm>
        <a:prstGeom prst="rect">
          <a:avLst/>
        </a:prstGeom>
        <a:noFill/>
        <a:ln w="12700">
          <a:solidFill>
            <a:srgbClr val="C00000"/>
          </a:solidFill>
        </a:ln>
      </xdr:spPr>
    </xdr:pic>
    <xdr:clientData/>
  </xdr:twoCellAnchor>
  <xdr:twoCellAnchor>
    <xdr:from>
      <xdr:col>1</xdr:col>
      <xdr:colOff>685800</xdr:colOff>
      <xdr:row>0</xdr:row>
      <xdr:rowOff>180974</xdr:rowOff>
    </xdr:from>
    <xdr:to>
      <xdr:col>3</xdr:col>
      <xdr:colOff>276224</xdr:colOff>
      <xdr:row>3</xdr:row>
      <xdr:rowOff>114599</xdr:rowOff>
    </xdr:to>
    <xdr:sp macro="" textlink="">
      <xdr:nvSpPr>
        <xdr:cNvPr id="8" name="ZoneTexte 7"/>
        <xdr:cNvSpPr txBox="1"/>
      </xdr:nvSpPr>
      <xdr:spPr>
        <a:xfrm>
          <a:off x="2209800" y="180974"/>
          <a:ext cx="3819524" cy="505125"/>
        </a:xfrm>
        <a:prstGeom prst="rect">
          <a:avLst/>
        </a:prstGeom>
        <a:solidFill>
          <a:schemeClr val="accent2">
            <a:lumMod val="75000"/>
          </a:schemeClr>
        </a:solidFill>
        <a:ln w="9525" cmpd="sng">
          <a:noFill/>
        </a:ln>
        <a:effectLst/>
        <a:scene3d>
          <a:camera prst="orthographicFront">
            <a:rot lat="0" lon="0" rev="0"/>
          </a:camera>
          <a:lightRig rig="glow" dir="t">
            <a:rot lat="0" lon="0" rev="14100000"/>
          </a:lightRig>
        </a:scene3d>
        <a:sp3d prstMaterial="softEdge">
          <a:bevelT w="127000" prst="artDeco"/>
        </a:sp3d>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fr-FR" sz="1400">
              <a:solidFill>
                <a:srgbClr val="FFFF00"/>
              </a:solidFill>
              <a:latin typeface="Times New Roman" pitchFamily="18" charset="0"/>
              <a:cs typeface="Times New Roman" pitchFamily="18" charset="0"/>
            </a:rPr>
            <a:t>Dimensionnement du vase d'expansion</a:t>
          </a:r>
        </a:p>
      </xdr:txBody>
    </xdr:sp>
    <xdr:clientData/>
  </xdr:twoCellAnchor>
  <xdr:twoCellAnchor editAs="oneCell">
    <xdr:from>
      <xdr:col>5</xdr:col>
      <xdr:colOff>276225</xdr:colOff>
      <xdr:row>21</xdr:row>
      <xdr:rowOff>142876</xdr:rowOff>
    </xdr:from>
    <xdr:to>
      <xdr:col>5</xdr:col>
      <xdr:colOff>733424</xdr:colOff>
      <xdr:row>23</xdr:row>
      <xdr:rowOff>133350</xdr:rowOff>
    </xdr:to>
    <xdr:pic>
      <xdr:nvPicPr>
        <xdr:cNvPr id="1030" name="Picture 6"/>
        <xdr:cNvPicPr>
          <a:picLocks noChangeAspect="1" noChangeArrowheads="1"/>
        </xdr:cNvPicPr>
      </xdr:nvPicPr>
      <xdr:blipFill>
        <a:blip xmlns:r="http://schemas.openxmlformats.org/officeDocument/2006/relationships" r:embed="rId2" cstate="print"/>
        <a:srcRect/>
        <a:stretch>
          <a:fillRect/>
        </a:stretch>
      </xdr:blipFill>
      <xdr:spPr bwMode="auto">
        <a:xfrm>
          <a:off x="6438900" y="5114926"/>
          <a:ext cx="457199" cy="485774"/>
        </a:xfrm>
        <a:prstGeom prst="rect">
          <a:avLst/>
        </a:prstGeom>
        <a:noFill/>
        <a:ln>
          <a:solidFill>
            <a:srgbClr val="FFC000"/>
          </a:solidFill>
        </a:ln>
      </xdr:spPr>
    </xdr:pic>
    <xdr:clientData/>
  </xdr:twoCellAnchor>
  <xdr:twoCellAnchor>
    <xdr:from>
      <xdr:col>5</xdr:col>
      <xdr:colOff>742950</xdr:colOff>
      <xdr:row>21</xdr:row>
      <xdr:rowOff>133350</xdr:rowOff>
    </xdr:from>
    <xdr:to>
      <xdr:col>8</xdr:col>
      <xdr:colOff>57150</xdr:colOff>
      <xdr:row>23</xdr:row>
      <xdr:rowOff>123825</xdr:rowOff>
    </xdr:to>
    <xdr:sp macro="" textlink="">
      <xdr:nvSpPr>
        <xdr:cNvPr id="10" name="ZoneTexte 9"/>
        <xdr:cNvSpPr txBox="1"/>
      </xdr:nvSpPr>
      <xdr:spPr>
        <a:xfrm>
          <a:off x="6905625" y="5105400"/>
          <a:ext cx="2676525" cy="485775"/>
        </a:xfrm>
        <a:prstGeom prst="rect">
          <a:avLst/>
        </a:prstGeom>
        <a:solidFill>
          <a:schemeClr val="lt1"/>
        </a:solidFill>
        <a:ln w="12700" cmpd="sng">
          <a:solidFill>
            <a:srgbClr val="FFC000"/>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fr-FR" sz="1100">
              <a:latin typeface="Times New Roman" pitchFamily="18" charset="0"/>
              <a:cs typeface="Times New Roman" pitchFamily="18" charset="0"/>
            </a:rPr>
            <a:t>Les pressions sont exprimées en pressions relatives.</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5</xdr:col>
      <xdr:colOff>57150</xdr:colOff>
      <xdr:row>3</xdr:row>
      <xdr:rowOff>66675</xdr:rowOff>
    </xdr:from>
    <xdr:to>
      <xdr:col>5</xdr:col>
      <xdr:colOff>1628775</xdr:colOff>
      <xdr:row>3</xdr:row>
      <xdr:rowOff>2295525</xdr:rowOff>
    </xdr:to>
    <xdr:pic>
      <xdr:nvPicPr>
        <xdr:cNvPr id="2" name="Picture 12"/>
        <xdr:cNvPicPr>
          <a:picLocks noChangeAspect="1" noChangeArrowheads="1"/>
        </xdr:cNvPicPr>
      </xdr:nvPicPr>
      <xdr:blipFill>
        <a:blip xmlns:r="http://schemas.openxmlformats.org/officeDocument/2006/relationships" r:embed="rId1" cstate="print"/>
        <a:srcRect/>
        <a:stretch>
          <a:fillRect/>
        </a:stretch>
      </xdr:blipFill>
      <xdr:spPr bwMode="auto">
        <a:xfrm>
          <a:off x="3867150" y="2981325"/>
          <a:ext cx="1571625" cy="2228850"/>
        </a:xfrm>
        <a:prstGeom prst="rect">
          <a:avLst/>
        </a:prstGeom>
        <a:noFill/>
      </xdr:spPr>
    </xdr:pic>
    <xdr:clientData/>
  </xdr:twoCellAnchor>
  <xdr:twoCellAnchor editAs="oneCell">
    <xdr:from>
      <xdr:col>5</xdr:col>
      <xdr:colOff>47625</xdr:colOff>
      <xdr:row>4</xdr:row>
      <xdr:rowOff>47625</xdr:rowOff>
    </xdr:from>
    <xdr:to>
      <xdr:col>5</xdr:col>
      <xdr:colOff>1619250</xdr:colOff>
      <xdr:row>4</xdr:row>
      <xdr:rowOff>2276475</xdr:rowOff>
    </xdr:to>
    <xdr:pic>
      <xdr:nvPicPr>
        <xdr:cNvPr id="3" name="Picture 12"/>
        <xdr:cNvPicPr>
          <a:picLocks noChangeAspect="1" noChangeArrowheads="1"/>
        </xdr:cNvPicPr>
      </xdr:nvPicPr>
      <xdr:blipFill>
        <a:blip xmlns:r="http://schemas.openxmlformats.org/officeDocument/2006/relationships" r:embed="rId1" cstate="print"/>
        <a:srcRect/>
        <a:stretch>
          <a:fillRect/>
        </a:stretch>
      </xdr:blipFill>
      <xdr:spPr bwMode="auto">
        <a:xfrm>
          <a:off x="3857625" y="2971800"/>
          <a:ext cx="1571625" cy="2228850"/>
        </a:xfrm>
        <a:prstGeom prst="rect">
          <a:avLst/>
        </a:prstGeom>
        <a:noFill/>
      </xdr:spPr>
    </xdr:pic>
    <xdr:clientData/>
  </xdr:twoCellAnchor>
  <xdr:twoCellAnchor editAs="oneCell">
    <xdr:from>
      <xdr:col>5</xdr:col>
      <xdr:colOff>38100</xdr:colOff>
      <xdr:row>2</xdr:row>
      <xdr:rowOff>47625</xdr:rowOff>
    </xdr:from>
    <xdr:to>
      <xdr:col>5</xdr:col>
      <xdr:colOff>1666875</xdr:colOff>
      <xdr:row>2</xdr:row>
      <xdr:rowOff>2505075</xdr:rowOff>
    </xdr:to>
    <xdr:pic>
      <xdr:nvPicPr>
        <xdr:cNvPr id="2050" name="Picture 2"/>
        <xdr:cNvPicPr>
          <a:picLocks noChangeAspect="1" noChangeArrowheads="1"/>
        </xdr:cNvPicPr>
      </xdr:nvPicPr>
      <xdr:blipFill>
        <a:blip xmlns:r="http://schemas.openxmlformats.org/officeDocument/2006/relationships" r:embed="rId2" cstate="print"/>
        <a:srcRect/>
        <a:stretch>
          <a:fillRect/>
        </a:stretch>
      </xdr:blipFill>
      <xdr:spPr bwMode="auto">
        <a:xfrm>
          <a:off x="3848100" y="428625"/>
          <a:ext cx="1628775" cy="2457450"/>
        </a:xfrm>
        <a:prstGeom prst="rect">
          <a:avLst/>
        </a:prstGeom>
        <a:noFill/>
      </xdr:spPr>
    </xdr:pic>
    <xdr:clientData/>
  </xdr:twoCellAnchor>
  <xdr:twoCellAnchor editAs="oneCell">
    <xdr:from>
      <xdr:col>8</xdr:col>
      <xdr:colOff>114300</xdr:colOff>
      <xdr:row>2</xdr:row>
      <xdr:rowOff>619126</xdr:rowOff>
    </xdr:from>
    <xdr:to>
      <xdr:col>9</xdr:col>
      <xdr:colOff>581025</xdr:colOff>
      <xdr:row>2</xdr:row>
      <xdr:rowOff>2219326</xdr:rowOff>
    </xdr:to>
    <xdr:pic>
      <xdr:nvPicPr>
        <xdr:cNvPr id="5" name="Picture 15"/>
        <xdr:cNvPicPr>
          <a:picLocks noChangeAspect="1" noChangeArrowheads="1"/>
        </xdr:cNvPicPr>
      </xdr:nvPicPr>
      <xdr:blipFill>
        <a:blip xmlns:r="http://schemas.openxmlformats.org/officeDocument/2006/relationships" r:embed="rId3" cstate="print"/>
        <a:srcRect/>
        <a:stretch>
          <a:fillRect/>
        </a:stretch>
      </xdr:blipFill>
      <xdr:spPr bwMode="auto">
        <a:xfrm>
          <a:off x="7153275" y="1000126"/>
          <a:ext cx="1228725" cy="1600200"/>
        </a:xfrm>
        <a:prstGeom prst="rect">
          <a:avLst/>
        </a:prstGeom>
        <a:noFill/>
      </xdr:spPr>
    </xdr:pic>
    <xdr:clientData/>
  </xdr:twoCellAnchor>
  <xdr:twoCellAnchor>
    <xdr:from>
      <xdr:col>8</xdr:col>
      <xdr:colOff>752475</xdr:colOff>
      <xdr:row>2</xdr:row>
      <xdr:rowOff>409575</xdr:rowOff>
    </xdr:from>
    <xdr:to>
      <xdr:col>9</xdr:col>
      <xdr:colOff>219075</xdr:colOff>
      <xdr:row>2</xdr:row>
      <xdr:rowOff>971551</xdr:rowOff>
    </xdr:to>
    <xdr:cxnSp macro="">
      <xdr:nvCxnSpPr>
        <xdr:cNvPr id="6" name="Connecteur droit avec flèche 5"/>
        <xdr:cNvCxnSpPr>
          <a:stCxn id="7" idx="2"/>
        </xdr:cNvCxnSpPr>
      </xdr:nvCxnSpPr>
      <xdr:spPr>
        <a:xfrm>
          <a:off x="7791450" y="790575"/>
          <a:ext cx="228600" cy="561976"/>
        </a:xfrm>
        <a:prstGeom prst="straightConnector1">
          <a:avLst/>
        </a:prstGeom>
        <a:ln w="1905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0</xdr:colOff>
      <xdr:row>2</xdr:row>
      <xdr:rowOff>0</xdr:rowOff>
    </xdr:from>
    <xdr:to>
      <xdr:col>9</xdr:col>
      <xdr:colOff>742950</xdr:colOff>
      <xdr:row>2</xdr:row>
      <xdr:rowOff>409575</xdr:rowOff>
    </xdr:to>
    <xdr:sp macro="" textlink="">
      <xdr:nvSpPr>
        <xdr:cNvPr id="7" name="ZoneTexte 6"/>
        <xdr:cNvSpPr txBox="1"/>
      </xdr:nvSpPr>
      <xdr:spPr>
        <a:xfrm>
          <a:off x="7038975" y="381000"/>
          <a:ext cx="1504950" cy="409575"/>
        </a:xfrm>
        <a:prstGeom prst="rect">
          <a:avLst/>
        </a:prstGeom>
        <a:solidFill>
          <a:schemeClr val="accent6">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fr-FR" sz="1050">
              <a:latin typeface="Times New Roman" pitchFamily="18" charset="0"/>
              <a:cs typeface="Times New Roman" pitchFamily="18" charset="0"/>
            </a:rPr>
            <a:t>Volume</a:t>
          </a:r>
          <a:r>
            <a:rPr lang="fr-FR" sz="1050" baseline="0">
              <a:latin typeface="Times New Roman" pitchFamily="18" charset="0"/>
              <a:cs typeface="Times New Roman" pitchFamily="18" charset="0"/>
            </a:rPr>
            <a:t> de réserve à la pression de remplissage</a:t>
          </a:r>
          <a:endParaRPr lang="fr-FR" sz="1050">
            <a:latin typeface="Times New Roman" pitchFamily="18" charset="0"/>
            <a:cs typeface="Times New Roman" pitchFamily="18" charset="0"/>
          </a:endParaRPr>
        </a:p>
      </xdr:txBody>
    </xdr: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sheetPr codeName="Feuil1"/>
  <dimension ref="A2:M55"/>
  <sheetViews>
    <sheetView topLeftCell="A22" workbookViewId="0">
      <selection activeCell="A22" sqref="A1:XFD1048576"/>
    </sheetView>
  </sheetViews>
  <sheetFormatPr baseColWidth="10" defaultRowHeight="15"/>
  <cols>
    <col min="1" max="1" width="22.140625" style="16" bestFit="1" customWidth="1"/>
    <col min="2" max="2" width="25.5703125" style="16" bestFit="1" customWidth="1"/>
    <col min="3" max="3" width="22.85546875" style="16" bestFit="1" customWidth="1"/>
    <col min="4" max="16384" width="11.42578125" style="16"/>
  </cols>
  <sheetData>
    <row r="2" spans="2:12">
      <c r="B2" s="14" t="s">
        <v>0</v>
      </c>
      <c r="C2" s="15" t="str">
        <f>Interface!$C$16</f>
        <v>Eau</v>
      </c>
      <c r="E2" s="46" t="s">
        <v>7</v>
      </c>
      <c r="F2" s="47"/>
      <c r="H2" s="46" t="s">
        <v>8</v>
      </c>
      <c r="I2" s="47"/>
      <c r="K2" s="46" t="s">
        <v>9</v>
      </c>
      <c r="L2" s="47"/>
    </row>
    <row r="3" spans="2:12">
      <c r="B3" s="14" t="s">
        <v>11</v>
      </c>
      <c r="C3" s="17">
        <f>Interface!$C$17</f>
        <v>0.3</v>
      </c>
      <c r="E3" s="18" t="s">
        <v>2</v>
      </c>
      <c r="F3" s="19">
        <v>658.49824999999998</v>
      </c>
      <c r="H3" s="18" t="s">
        <v>2</v>
      </c>
      <c r="I3" s="19">
        <v>508.41109</v>
      </c>
      <c r="K3" s="18" t="s">
        <v>10</v>
      </c>
      <c r="L3" s="19">
        <v>859.86</v>
      </c>
    </row>
    <row r="4" spans="2:12">
      <c r="B4" s="14" t="s">
        <v>46</v>
      </c>
      <c r="C4" s="15">
        <v>323.14999999999998</v>
      </c>
      <c r="E4" s="18" t="s">
        <v>3</v>
      </c>
      <c r="F4" s="19">
        <v>54.815010000000001</v>
      </c>
      <c r="H4" s="18" t="s">
        <v>3</v>
      </c>
      <c r="I4" s="19">
        <v>-182.40819999999999</v>
      </c>
      <c r="K4" s="18" t="s">
        <v>2</v>
      </c>
      <c r="L4" s="19">
        <v>1.2188000000000001</v>
      </c>
    </row>
    <row r="5" spans="2:12">
      <c r="E5" s="18" t="s">
        <v>4</v>
      </c>
      <c r="F5" s="19">
        <v>664.71642999999995</v>
      </c>
      <c r="H5" s="18" t="s">
        <v>4</v>
      </c>
      <c r="I5" s="19">
        <v>965.76507000000004</v>
      </c>
      <c r="K5" s="18" t="s">
        <v>3</v>
      </c>
      <c r="L5" s="19">
        <f>-2.555*10^-3</f>
        <v>-2.5550000000000004E-3</v>
      </c>
    </row>
    <row r="6" spans="2:12">
      <c r="E6" s="18" t="s">
        <v>5</v>
      </c>
      <c r="F6" s="19">
        <v>232.72642999999999</v>
      </c>
      <c r="H6" s="18" t="s">
        <v>5</v>
      </c>
      <c r="I6" s="19">
        <v>280.29104000000001</v>
      </c>
    </row>
    <row r="7" spans="2:12">
      <c r="E7" s="18" t="s">
        <v>6</v>
      </c>
      <c r="F7" s="19">
        <v>-322.61660999999998</v>
      </c>
      <c r="H7" s="18" t="s">
        <v>6</v>
      </c>
      <c r="I7" s="19">
        <v>-472.2251</v>
      </c>
    </row>
    <row r="10" spans="2:12">
      <c r="C10" s="14" t="s">
        <v>43</v>
      </c>
      <c r="D10" s="14">
        <f>$F$3+($F$4*$C$3/100)+($F$5*273.15/$C$4)+($F$6*$C$3*273.15/(100*$C$4))+($F$7*POWER((273.15/$C$4),2))</f>
        <v>990.61451460391299</v>
      </c>
    </row>
    <row r="11" spans="2:12">
      <c r="C11" s="14" t="s">
        <v>44</v>
      </c>
      <c r="D11" s="14">
        <f>$I$3+($I$4*$C$3/100)+($I$5*273.15/$C$4)+($I$6*$C$3*273.15/(100*$C$4))+($I$7*POWER((273.15/$C$4),2))</f>
        <v>987.51135369173528</v>
      </c>
    </row>
    <row r="12" spans="2:12">
      <c r="C12" s="14" t="s">
        <v>45</v>
      </c>
      <c r="D12" s="14">
        <f>$L$3+($L$4*$C$4)+($L$5*POWER($C$4,2))</f>
        <v>986.90698801250005</v>
      </c>
    </row>
    <row r="14" spans="2:12">
      <c r="C14" s="14" t="s">
        <v>49</v>
      </c>
      <c r="D14" s="14">
        <f>(-1/$D$10)*(((-273.15/POWER($C$4,2))*($F$5+$F$6*($C$3/100)))-(2*$F$7*POWER(273.15,2)/POWER($C$4,3)))</f>
        <v>3.1690459661513388E-4</v>
      </c>
    </row>
    <row r="15" spans="2:12">
      <c r="C15" s="14" t="s">
        <v>50</v>
      </c>
      <c r="D15" s="14">
        <f>(-1/$D$11)*(((-273.15/POWER($C$4,2))*($I$5+$I$6*($C$3/100)))-(2*$I$7*POWER(273.15,2)/POWER($C$4,3)))</f>
        <v>4.4576186036771704E-4</v>
      </c>
    </row>
    <row r="16" spans="2:12">
      <c r="C16" s="14" t="s">
        <v>51</v>
      </c>
      <c r="D16" s="14">
        <f>(-1/$D$10)*($L$4+2*$L$5*$C$4)</f>
        <v>4.3659414800007178E-4</v>
      </c>
    </row>
    <row r="20" spans="1:13">
      <c r="G20" s="16" t="s">
        <v>72</v>
      </c>
      <c r="I20" s="16" t="s">
        <v>73</v>
      </c>
    </row>
    <row r="21" spans="1:13">
      <c r="G21" s="14">
        <v>8</v>
      </c>
      <c r="H21" s="14">
        <f>(H22*(I21-G21)+(G21*I22-G22*I21))/(I22-G22)</f>
        <v>9.1999999999999993</v>
      </c>
      <c r="I21" s="14">
        <v>10</v>
      </c>
      <c r="K21" s="14">
        <f>INDEX(E29:J55,B26,B25)</f>
        <v>17</v>
      </c>
      <c r="L21" s="14">
        <f>(L22*(M21-K21)+(K21*M22-K22*M21))/(M22-K22)</f>
        <v>17</v>
      </c>
      <c r="M21" s="14">
        <f>INDEX(E29:J55,B27,B25)</f>
        <v>20</v>
      </c>
    </row>
    <row r="22" spans="1:13">
      <c r="A22" s="14" t="s">
        <v>71</v>
      </c>
      <c r="B22" s="14">
        <f>Interface!$C$19</f>
        <v>60</v>
      </c>
      <c r="G22" s="14">
        <v>40</v>
      </c>
      <c r="H22" s="14">
        <v>43</v>
      </c>
      <c r="I22" s="14">
        <v>45</v>
      </c>
      <c r="K22" s="14">
        <f>VLOOKUP(B22,D29:D55,1,TRUE)</f>
        <v>60</v>
      </c>
      <c r="L22" s="14">
        <f>B22</f>
        <v>60</v>
      </c>
      <c r="M22" s="14">
        <f>K22+5</f>
        <v>65</v>
      </c>
    </row>
    <row r="23" spans="1:13">
      <c r="G23" s="16" t="s">
        <v>74</v>
      </c>
      <c r="H23" s="16" t="s">
        <v>75</v>
      </c>
      <c r="I23" s="16" t="s">
        <v>76</v>
      </c>
    </row>
    <row r="24" spans="1:13">
      <c r="A24" s="14" t="s">
        <v>77</v>
      </c>
      <c r="B24" s="20">
        <f>IF(Interface!$C$16="Eau",0%,IF(Interface!$C$16="Eau + Glycol",Interface!$C$17,0%))</f>
        <v>0</v>
      </c>
    </row>
    <row r="25" spans="1:13">
      <c r="A25" s="14" t="s">
        <v>78</v>
      </c>
      <c r="B25" s="14">
        <f>MATCH(B24,E28:J28,0)</f>
        <v>1</v>
      </c>
    </row>
    <row r="26" spans="1:13">
      <c r="A26" s="14" t="s">
        <v>79</v>
      </c>
      <c r="B26" s="14">
        <f>MATCH(K22,D29:D55,0)</f>
        <v>13</v>
      </c>
    </row>
    <row r="27" spans="1:13">
      <c r="A27" s="21" t="s">
        <v>80</v>
      </c>
      <c r="B27" s="14">
        <f>MATCH(M22,D29:D55,0)</f>
        <v>14</v>
      </c>
      <c r="E27" s="46" t="s">
        <v>70</v>
      </c>
      <c r="F27" s="46"/>
      <c r="G27" s="46"/>
      <c r="H27" s="46"/>
      <c r="I27" s="46"/>
      <c r="J27" s="46"/>
    </row>
    <row r="28" spans="1:13">
      <c r="E28" s="20">
        <v>0</v>
      </c>
      <c r="F28" s="20">
        <v>0.1</v>
      </c>
      <c r="G28" s="20">
        <v>0.2</v>
      </c>
      <c r="H28" s="20">
        <v>0.3</v>
      </c>
      <c r="I28" s="20">
        <v>0.4</v>
      </c>
      <c r="J28" s="20">
        <v>0.5</v>
      </c>
    </row>
    <row r="29" spans="1:13">
      <c r="A29" s="14" t="s">
        <v>81</v>
      </c>
      <c r="B29" s="14">
        <f>L21</f>
        <v>17</v>
      </c>
      <c r="D29" s="14">
        <v>0</v>
      </c>
      <c r="E29" s="14">
        <v>0</v>
      </c>
      <c r="F29" s="14">
        <v>1</v>
      </c>
      <c r="G29" s="14">
        <v>2</v>
      </c>
      <c r="H29" s="14">
        <v>4</v>
      </c>
      <c r="I29" s="14">
        <v>10</v>
      </c>
      <c r="J29" s="14">
        <v>12</v>
      </c>
      <c r="K29" s="16">
        <f>J31-J29</f>
        <v>3</v>
      </c>
    </row>
    <row r="30" spans="1:13">
      <c r="D30" s="14">
        <v>5</v>
      </c>
      <c r="E30" s="14">
        <v>0.5</v>
      </c>
      <c r="F30" s="14">
        <f>(D30*(F31-F29)+(F29*D31-D29*F31))/(D31-D29)</f>
        <v>2</v>
      </c>
      <c r="G30" s="14">
        <f>(E30*(G31-G29)+(G29*E31-E29*G31))/(E31-E29)</f>
        <v>3.5</v>
      </c>
      <c r="H30" s="14">
        <f>(F30*(H31-H29)+(H29*F31-F29*H31))/(F31-F29)</f>
        <v>5.5</v>
      </c>
      <c r="I30" s="14">
        <f>(G30*(I31-I29)+(I29*G31-G29*I31))/(G31-G29)</f>
        <v>11.5</v>
      </c>
      <c r="J30" s="14">
        <f>(H30*(J31-J29)+(J29*H31-H29*J31))/(H31-H29)</f>
        <v>13.5</v>
      </c>
    </row>
    <row r="31" spans="1:13">
      <c r="A31" s="14" t="s">
        <v>81</v>
      </c>
      <c r="B31" s="14">
        <f>INDEX(E55:J55,1,B25)</f>
        <v>69</v>
      </c>
      <c r="D31" s="14">
        <v>10</v>
      </c>
      <c r="E31" s="14">
        <v>1</v>
      </c>
      <c r="F31" s="14">
        <v>3</v>
      </c>
      <c r="G31" s="14">
        <v>5</v>
      </c>
      <c r="H31" s="14">
        <v>7</v>
      </c>
      <c r="I31" s="14">
        <v>13</v>
      </c>
      <c r="J31" s="14">
        <v>15</v>
      </c>
      <c r="K31" s="16">
        <f>J33-J31</f>
        <v>3</v>
      </c>
    </row>
    <row r="32" spans="1:13">
      <c r="D32" s="14">
        <v>15</v>
      </c>
      <c r="E32" s="14">
        <v>1.5</v>
      </c>
      <c r="F32" s="14">
        <f>(D32*(F33-F31)+(F31*D33-D31*F33))/(D33-D31)</f>
        <v>4</v>
      </c>
      <c r="G32" s="14">
        <f>(E32*(G33-G31)+(G31*E33-E31*G33))/(E33-E31)</f>
        <v>6.5</v>
      </c>
      <c r="H32" s="14">
        <f>(F32*(H33-H31)+(H31*F33-F31*H33))/(F33-F31)</f>
        <v>8.5</v>
      </c>
      <c r="I32" s="14">
        <f>(G32*(I33-I31)+(I31*G33-G31*I33))/(G33-G31)</f>
        <v>14</v>
      </c>
      <c r="J32" s="14">
        <f>(H32*(J33-J31)+(J31*H33-H31*J33))/(H33-H31)</f>
        <v>16.5</v>
      </c>
    </row>
    <row r="33" spans="4:11">
      <c r="D33" s="14">
        <v>20</v>
      </c>
      <c r="E33" s="14">
        <v>2</v>
      </c>
      <c r="F33" s="14">
        <v>5</v>
      </c>
      <c r="G33" s="14">
        <v>8</v>
      </c>
      <c r="H33" s="14">
        <v>10</v>
      </c>
      <c r="I33" s="14">
        <v>15</v>
      </c>
      <c r="J33" s="14">
        <v>18</v>
      </c>
      <c r="K33" s="16">
        <f>J35-J33</f>
        <v>2</v>
      </c>
    </row>
    <row r="34" spans="4:11">
      <c r="D34" s="14">
        <v>25</v>
      </c>
      <c r="E34" s="14">
        <v>3</v>
      </c>
      <c r="F34" s="14">
        <f>(D34*(F35-F33)+(F33*D35-D33*F35))/(D35-D33)</f>
        <v>6</v>
      </c>
      <c r="G34" s="14">
        <f>(E34*(G35-G33)+(G33*E35-E33*G35))/(E35-E33)</f>
        <v>9.5</v>
      </c>
      <c r="H34" s="14">
        <f>(F34*(H35-H33)+(H33*F35-F33*H35))/(F35-F33)</f>
        <v>11.5</v>
      </c>
      <c r="I34" s="14">
        <f>(G34*(I35-I33)+(I33*G35-G33*I35))/(G35-G33)</f>
        <v>16</v>
      </c>
      <c r="J34" s="14">
        <f>(H34*(J35-J33)+(J33*H35-H33*J35))/(H35-H33)</f>
        <v>19</v>
      </c>
    </row>
    <row r="35" spans="4:11">
      <c r="D35" s="14">
        <v>30</v>
      </c>
      <c r="E35" s="14">
        <v>4</v>
      </c>
      <c r="F35" s="14">
        <v>7</v>
      </c>
      <c r="G35" s="14">
        <v>11</v>
      </c>
      <c r="H35" s="14">
        <v>13</v>
      </c>
      <c r="I35" s="14">
        <v>17</v>
      </c>
      <c r="J35" s="14">
        <v>20</v>
      </c>
      <c r="K35" s="16">
        <f>J37-J35</f>
        <v>4</v>
      </c>
    </row>
    <row r="36" spans="4:11">
      <c r="D36" s="14">
        <v>35</v>
      </c>
      <c r="E36" s="14">
        <v>6</v>
      </c>
      <c r="F36" s="14">
        <f>(D36*(F37-F35)+(F35*D37-D35*F37))/(D37-D35)</f>
        <v>9</v>
      </c>
      <c r="G36" s="14">
        <f>(E36*(G37-G35)+(G35*E37-E35*G37))/(E37-E35)</f>
        <v>12.5</v>
      </c>
      <c r="H36" s="14">
        <f>(F36*(H37-H35)+(H35*F37-F35*H37))/(F37-F35)</f>
        <v>14.5</v>
      </c>
      <c r="I36" s="14">
        <f>(G36*(I37-I35)+(I35*G37-G35*I37))/(G37-G35)</f>
        <v>19</v>
      </c>
      <c r="J36" s="14">
        <f>(H36*(J37-J35)+(J35*H37-H35*J37))/(H37-H35)</f>
        <v>22</v>
      </c>
    </row>
    <row r="37" spans="4:11">
      <c r="D37" s="14">
        <v>40</v>
      </c>
      <c r="E37" s="14">
        <v>8</v>
      </c>
      <c r="F37" s="14">
        <v>11</v>
      </c>
      <c r="G37" s="14">
        <v>14</v>
      </c>
      <c r="H37" s="14">
        <v>16</v>
      </c>
      <c r="I37" s="14">
        <v>21</v>
      </c>
      <c r="J37" s="14">
        <v>24</v>
      </c>
      <c r="K37" s="16">
        <f>J39-J37</f>
        <v>4</v>
      </c>
    </row>
    <row r="38" spans="4:11">
      <c r="D38" s="14">
        <v>45</v>
      </c>
      <c r="E38" s="14">
        <v>10</v>
      </c>
      <c r="F38" s="14">
        <f>(D38*(F39-F37)+(F37*D39-D37*F39))/(D39-D37)</f>
        <v>13</v>
      </c>
      <c r="G38" s="14">
        <f>(E38*(G39-G37)+(G37*E39-E37*G39))/(E39-E37)</f>
        <v>16</v>
      </c>
      <c r="H38" s="14">
        <f>(F38*(H39-H37)+(H37*F39-F37*H39))/(F39-F37)</f>
        <v>18.5</v>
      </c>
      <c r="I38" s="14">
        <f>(G38*(I39-I37)+(I37*G39-G37*I39))/(G39-G37)</f>
        <v>23</v>
      </c>
      <c r="J38" s="14">
        <f>(H38*(J39-J37)+(J37*H39-H37*J39))/(H39-H37)</f>
        <v>26</v>
      </c>
    </row>
    <row r="39" spans="4:11">
      <c r="D39" s="14">
        <v>50</v>
      </c>
      <c r="E39" s="14">
        <v>12</v>
      </c>
      <c r="F39" s="14">
        <v>15</v>
      </c>
      <c r="G39" s="14">
        <v>18</v>
      </c>
      <c r="H39" s="14">
        <v>21</v>
      </c>
      <c r="I39" s="14">
        <v>25</v>
      </c>
      <c r="J39" s="14">
        <v>28</v>
      </c>
      <c r="K39" s="16">
        <f>J41-J39</f>
        <v>5</v>
      </c>
    </row>
    <row r="40" spans="4:11">
      <c r="D40" s="14">
        <v>55</v>
      </c>
      <c r="E40" s="14">
        <v>14.5</v>
      </c>
      <c r="F40" s="14">
        <f>(D40*(F41-F39)+(F39*D41-D39*F41))/(D41-D39)</f>
        <v>17.5</v>
      </c>
      <c r="G40" s="14">
        <f>(E40*(G41-G39)+(G39*E41-E39*G41))/(E41-E39)</f>
        <v>20.5</v>
      </c>
      <c r="H40" s="14">
        <f>(F40*(H41-H39)+(H39*F41-F39*H41))/(F41-F39)</f>
        <v>23.5</v>
      </c>
      <c r="I40" s="14">
        <f>(G40*(I41-I39)+(I39*G41-G39*I41))/(G41-G39)</f>
        <v>27.5</v>
      </c>
      <c r="J40" s="14">
        <f>(H40*(J41-J39)+(J39*H41-H39*J41))/(H41-H39)</f>
        <v>30.5</v>
      </c>
    </row>
    <row r="41" spans="4:11">
      <c r="D41" s="14">
        <v>60</v>
      </c>
      <c r="E41" s="14">
        <v>17</v>
      </c>
      <c r="F41" s="14">
        <v>20</v>
      </c>
      <c r="G41" s="14">
        <v>23</v>
      </c>
      <c r="H41" s="14">
        <v>26</v>
      </c>
      <c r="I41" s="14">
        <v>30</v>
      </c>
      <c r="J41" s="14">
        <v>33</v>
      </c>
      <c r="K41" s="16">
        <f>J43-J41</f>
        <v>6</v>
      </c>
    </row>
    <row r="42" spans="4:11">
      <c r="D42" s="14">
        <v>65</v>
      </c>
      <c r="E42" s="14">
        <v>20</v>
      </c>
      <c r="F42" s="14">
        <f>(D42*(F43-F41)+(F41*D43-D41*F43))/(D43-D41)</f>
        <v>23</v>
      </c>
      <c r="G42" s="14">
        <f>(E42*(G43-G41)+(G41*E43-E41*G43))/(E43-E41)</f>
        <v>26</v>
      </c>
      <c r="H42" s="14">
        <f>(F42*(H43-H41)+(H41*F43-F41*H43))/(F43-F41)</f>
        <v>28.5</v>
      </c>
      <c r="I42" s="14">
        <f>(G42*(I43-I41)+(I41*G43-G41*I43))/(G43-G41)</f>
        <v>33</v>
      </c>
      <c r="J42" s="14">
        <f>(H42*(J43-J41)+(J41*H43-H41*J43))/(H43-H41)</f>
        <v>36</v>
      </c>
    </row>
    <row r="43" spans="4:11">
      <c r="D43" s="14">
        <v>70</v>
      </c>
      <c r="E43" s="14">
        <v>23</v>
      </c>
      <c r="F43" s="14">
        <v>26</v>
      </c>
      <c r="G43" s="14">
        <v>29</v>
      </c>
      <c r="H43" s="14">
        <v>31</v>
      </c>
      <c r="I43" s="14">
        <v>36</v>
      </c>
      <c r="J43" s="14">
        <v>39</v>
      </c>
      <c r="K43" s="16">
        <f>J45-J43</f>
        <v>6</v>
      </c>
    </row>
    <row r="44" spans="4:11">
      <c r="D44" s="14">
        <v>75</v>
      </c>
      <c r="E44" s="14">
        <v>26</v>
      </c>
      <c r="F44" s="14">
        <f>(D44*(F45-F43)+(F43*D45-D43*F45))/(D45-D43)</f>
        <v>29</v>
      </c>
      <c r="G44" s="14">
        <f>(E44*(G45-G43)+(G43*E45-E43*G45))/(E45-E43)</f>
        <v>32</v>
      </c>
      <c r="H44" s="14">
        <f>(F44*(H45-H43)+(H43*F45-F43*H45))/(F45-F43)</f>
        <v>34.5</v>
      </c>
      <c r="I44" s="14">
        <f>(G44*(I45-I43)+(I43*G45-G43*I45))/(G45-G43)</f>
        <v>39</v>
      </c>
      <c r="J44" s="14">
        <f>(H44*(J45-J43)+(J43*H45-H43*J45))/(H45-H43)</f>
        <v>42</v>
      </c>
    </row>
    <row r="45" spans="4:11">
      <c r="D45" s="14">
        <v>80</v>
      </c>
      <c r="E45" s="14">
        <v>29</v>
      </c>
      <c r="F45" s="14">
        <v>32</v>
      </c>
      <c r="G45" s="14">
        <v>35</v>
      </c>
      <c r="H45" s="14">
        <v>38</v>
      </c>
      <c r="I45" s="14">
        <v>42</v>
      </c>
      <c r="J45" s="14">
        <v>45</v>
      </c>
      <c r="K45" s="16">
        <f>J47-J45</f>
        <v>7</v>
      </c>
    </row>
    <row r="46" spans="4:11">
      <c r="D46" s="14">
        <v>85</v>
      </c>
      <c r="E46" s="14">
        <v>32.5</v>
      </c>
      <c r="F46" s="14">
        <f>(D46*(F47-F45)+(F45*D47-D45*F47))/(D47-D45)</f>
        <v>35.5</v>
      </c>
      <c r="G46" s="14">
        <f>(E46*(G47-G45)+(G45*E47-E45*G47))/(E47-E45)</f>
        <v>38.5</v>
      </c>
      <c r="H46" s="14">
        <f>(F46*(H47-H45)+(H45*F47-F45*H47))/(F47-F45)</f>
        <v>41</v>
      </c>
      <c r="I46" s="14">
        <f>(G46*(I47-I45)+(I45*G47-G45*I47))/(G47-G45)</f>
        <v>45.5</v>
      </c>
      <c r="J46" s="14">
        <f>(H46*(J47-J45)+(J45*H47-H45*J47))/(H47-H45)</f>
        <v>48.5</v>
      </c>
    </row>
    <row r="47" spans="4:11">
      <c r="D47" s="14">
        <v>90</v>
      </c>
      <c r="E47" s="14">
        <v>36</v>
      </c>
      <c r="F47" s="14">
        <v>39</v>
      </c>
      <c r="G47" s="14">
        <v>42</v>
      </c>
      <c r="H47" s="14">
        <v>44</v>
      </c>
      <c r="I47" s="14">
        <v>49</v>
      </c>
      <c r="J47" s="14">
        <v>52</v>
      </c>
      <c r="K47" s="16">
        <f>J49-J47</f>
        <v>7</v>
      </c>
    </row>
    <row r="48" spans="4:11">
      <c r="D48" s="14">
        <v>95</v>
      </c>
      <c r="E48" s="14">
        <v>39.5</v>
      </c>
      <c r="F48" s="14">
        <f>(D48*(F49-F47)+(F47*D49-D47*F49))/(D49-D47)</f>
        <v>42.5</v>
      </c>
      <c r="G48" s="14">
        <f>(E48*(G49-G47)+(G47*E49-E47*G49))/(E49-E47)</f>
        <v>45.5</v>
      </c>
      <c r="H48" s="14">
        <f>(F48*(H49-H47)+(H47*F49-F47*H49))/(F49-F47)</f>
        <v>48</v>
      </c>
      <c r="I48" s="14">
        <f>(G48*(I49-I47)+(I47*G49-G47*I49))/(G49-G47)</f>
        <v>52.5</v>
      </c>
      <c r="J48" s="14">
        <f>(H48*(J49-J47)+(J47*H49-H47*J49))/(H49-H47)</f>
        <v>55.5</v>
      </c>
    </row>
    <row r="49" spans="4:11">
      <c r="D49" s="14">
        <v>100</v>
      </c>
      <c r="E49" s="14">
        <v>43</v>
      </c>
      <c r="F49" s="14">
        <v>46</v>
      </c>
      <c r="G49" s="14">
        <v>49</v>
      </c>
      <c r="H49" s="14">
        <v>52</v>
      </c>
      <c r="I49" s="14">
        <v>56</v>
      </c>
      <c r="J49" s="14">
        <v>59</v>
      </c>
      <c r="K49" s="16">
        <f>J51-J49</f>
        <v>8</v>
      </c>
    </row>
    <row r="50" spans="4:11">
      <c r="D50" s="14">
        <v>105</v>
      </c>
      <c r="E50" s="14">
        <v>47.5</v>
      </c>
      <c r="F50" s="14">
        <f>(D50*(F51-F49)+(F49*D51-D49*F51))/(D51-D49)</f>
        <v>50.5</v>
      </c>
      <c r="G50" s="14">
        <f>(E50*(G51-G49)+(G49*E51-E49*G51))/(E51-E49)</f>
        <v>53.5</v>
      </c>
      <c r="H50" s="14">
        <f>(F50*(H51-H49)+(H49*F51-F49*H51))/(F51-F49)</f>
        <v>56</v>
      </c>
      <c r="I50" s="14">
        <f>(G50*(I51-I49)+(I49*G51-G49*I51))/(G51-G49)</f>
        <v>60</v>
      </c>
      <c r="J50" s="14">
        <f>(H50*(J51-J49)+(J49*H51-H49*J51))/(H51-H49)</f>
        <v>63</v>
      </c>
    </row>
    <row r="51" spans="4:11">
      <c r="D51" s="14">
        <v>110</v>
      </c>
      <c r="E51" s="14">
        <v>52</v>
      </c>
      <c r="F51" s="14">
        <v>55</v>
      </c>
      <c r="G51" s="14">
        <v>58</v>
      </c>
      <c r="H51" s="14">
        <v>60</v>
      </c>
      <c r="I51" s="14">
        <v>64</v>
      </c>
      <c r="J51" s="14">
        <v>67</v>
      </c>
      <c r="K51" s="16">
        <f>J53-J51</f>
        <v>9</v>
      </c>
    </row>
    <row r="52" spans="4:11">
      <c r="D52" s="14">
        <v>115</v>
      </c>
      <c r="E52" s="14">
        <v>56</v>
      </c>
      <c r="F52" s="14">
        <f>(D52*(F53-F51)+(F51*D53-D51*F53))/(D53-D51)</f>
        <v>59</v>
      </c>
      <c r="G52" s="14">
        <f>(E52*(G53-G51)+(G51*E53-E51*G53))/(E53-E51)</f>
        <v>62.5</v>
      </c>
      <c r="H52" s="14">
        <f>(F52*(H53-H51)+(H51*F53-F51*H53))/(F53-F51)</f>
        <v>64.5</v>
      </c>
      <c r="I52" s="14">
        <f>(G52*(I53-I51)+(I51*G53-G51*I53))/(G53-G51)</f>
        <v>68.5</v>
      </c>
      <c r="J52" s="14">
        <f>(H52*(J53-J51)+(J51*H53-H51*J53))/(H53-H51)</f>
        <v>71.5</v>
      </c>
    </row>
    <row r="53" spans="4:11">
      <c r="D53" s="14">
        <v>120</v>
      </c>
      <c r="E53" s="14">
        <v>60</v>
      </c>
      <c r="F53" s="14">
        <v>63</v>
      </c>
      <c r="G53" s="14">
        <v>67</v>
      </c>
      <c r="H53" s="14">
        <v>69</v>
      </c>
      <c r="I53" s="14">
        <v>73</v>
      </c>
      <c r="J53" s="14">
        <v>76</v>
      </c>
      <c r="K53" s="16">
        <f>J55-J53</f>
        <v>9</v>
      </c>
    </row>
    <row r="54" spans="4:11">
      <c r="D54" s="14">
        <v>125</v>
      </c>
      <c r="E54" s="14">
        <v>64.5</v>
      </c>
      <c r="F54" s="14">
        <f>(D54*(F55-F53)+(F53*D55-D53*F55))/(D55-D53)</f>
        <v>74</v>
      </c>
      <c r="G54" s="14">
        <f>(E54*(G55-G53)+(G53*E55-E53*G55))/(E55-E53)</f>
        <v>74.5</v>
      </c>
      <c r="H54" s="14">
        <f>(F54*(H55-H53)+(H53*F55-F53*H55))/(F55-F53)</f>
        <v>73.5</v>
      </c>
      <c r="I54" s="14">
        <f>(G54*(I55-I53)+(I53*G55-G53*I55))/(G55-G53)</f>
        <v>77.5</v>
      </c>
      <c r="J54" s="14">
        <f>(H54*(J55-J53)+(J53*H55-H53*J55))/(H55-H53)</f>
        <v>80.5</v>
      </c>
    </row>
    <row r="55" spans="4:11">
      <c r="D55" s="14">
        <v>130</v>
      </c>
      <c r="E55" s="14">
        <v>69</v>
      </c>
      <c r="F55" s="14">
        <v>85</v>
      </c>
      <c r="G55" s="14">
        <v>82</v>
      </c>
      <c r="H55" s="14">
        <v>78</v>
      </c>
      <c r="I55" s="14">
        <v>82</v>
      </c>
      <c r="J55" s="14">
        <v>85</v>
      </c>
    </row>
  </sheetData>
  <sheetProtection password="C782" sheet="1" objects="1" scenarios="1"/>
  <mergeCells count="4">
    <mergeCell ref="E2:F2"/>
    <mergeCell ref="H2:I2"/>
    <mergeCell ref="K2:L2"/>
    <mergeCell ref="E27:J27"/>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sheetPr codeName="Feuil2"/>
  <dimension ref="B2:J8"/>
  <sheetViews>
    <sheetView workbookViewId="0">
      <selection activeCell="H3" sqref="H3"/>
    </sheetView>
  </sheetViews>
  <sheetFormatPr baseColWidth="10" defaultRowHeight="15"/>
  <cols>
    <col min="2" max="2" width="22.85546875" bestFit="1" customWidth="1"/>
    <col min="6" max="6" width="25" bestFit="1" customWidth="1"/>
    <col min="8" max="8" width="22.42578125" bestFit="1" customWidth="1"/>
  </cols>
  <sheetData>
    <row r="2" spans="2:10">
      <c r="B2" s="1"/>
      <c r="D2" s="1"/>
      <c r="F2" s="1"/>
      <c r="H2" s="1"/>
      <c r="J2" s="11"/>
    </row>
    <row r="3" spans="2:10">
      <c r="B3" s="1" t="s">
        <v>1</v>
      </c>
      <c r="D3" s="13">
        <v>0.1</v>
      </c>
      <c r="F3" s="1" t="s">
        <v>62</v>
      </c>
      <c r="H3" s="1" t="s">
        <v>64</v>
      </c>
      <c r="J3" s="1" t="s">
        <v>42</v>
      </c>
    </row>
    <row r="4" spans="2:10">
      <c r="B4" s="1" t="s">
        <v>82</v>
      </c>
      <c r="D4" s="13">
        <v>0.2</v>
      </c>
      <c r="F4" s="1" t="s">
        <v>63</v>
      </c>
      <c r="H4" s="1" t="s">
        <v>61</v>
      </c>
      <c r="J4" s="12" t="s">
        <v>40</v>
      </c>
    </row>
    <row r="5" spans="2:10">
      <c r="D5" s="13">
        <v>0.3</v>
      </c>
      <c r="J5" s="1" t="s">
        <v>41</v>
      </c>
    </row>
    <row r="6" spans="2:10">
      <c r="D6" s="13">
        <v>0.4</v>
      </c>
      <c r="F6" s="1"/>
    </row>
    <row r="7" spans="2:10">
      <c r="B7" s="1"/>
      <c r="D7" s="13">
        <v>0.5</v>
      </c>
      <c r="F7" s="1"/>
    </row>
    <row r="8" spans="2:10">
      <c r="B8" s="1" t="s">
        <v>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sheetPr codeName="Feuil3"/>
  <dimension ref="A2:I43"/>
  <sheetViews>
    <sheetView workbookViewId="0">
      <selection sqref="A1:XFD1048576"/>
    </sheetView>
  </sheetViews>
  <sheetFormatPr baseColWidth="10" defaultRowHeight="15"/>
  <cols>
    <col min="1" max="1" width="11.42578125" style="16"/>
    <col min="2" max="2" width="27.5703125" style="16" bestFit="1" customWidth="1"/>
    <col min="3" max="3" width="38.28515625" style="16" bestFit="1" customWidth="1"/>
    <col min="4" max="6" width="11.42578125" style="16"/>
    <col min="7" max="7" width="32.42578125" style="16" bestFit="1" customWidth="1"/>
    <col min="8" max="16384" width="11.42578125" style="16"/>
  </cols>
  <sheetData>
    <row r="2" spans="3:9">
      <c r="C2" s="14" t="s">
        <v>14</v>
      </c>
      <c r="D2" s="15" t="s">
        <v>15</v>
      </c>
      <c r="H2" s="16">
        <f>D9</f>
        <v>1.5</v>
      </c>
      <c r="I2" s="16">
        <v>2</v>
      </c>
    </row>
    <row r="3" spans="3:9">
      <c r="D3" s="22"/>
      <c r="H3" s="16">
        <f>H2/0.5</f>
        <v>3</v>
      </c>
      <c r="I3" s="16">
        <f>I2/0.5</f>
        <v>4</v>
      </c>
    </row>
    <row r="4" spans="3:9">
      <c r="C4" s="14" t="s">
        <v>12</v>
      </c>
      <c r="D4" s="15">
        <v>20</v>
      </c>
      <c r="H4" s="16">
        <f>INT(H3)</f>
        <v>3</v>
      </c>
      <c r="I4" s="16">
        <f>INT(I3)</f>
        <v>4</v>
      </c>
    </row>
    <row r="5" spans="3:9" ht="15.75" thickBot="1">
      <c r="C5" s="23" t="s">
        <v>13</v>
      </c>
      <c r="D5" s="15">
        <f>IF(Interface!$C$9="Terrasse",Interface!$C$23,0)</f>
        <v>0</v>
      </c>
    </row>
    <row r="6" spans="3:9" ht="15.75" thickBot="1">
      <c r="D6" s="22"/>
      <c r="G6" s="48" t="s">
        <v>53</v>
      </c>
      <c r="H6" s="49"/>
    </row>
    <row r="7" spans="3:9">
      <c r="D7" s="22"/>
      <c r="F7" s="24"/>
      <c r="G7" s="25"/>
      <c r="H7" s="25"/>
      <c r="I7" s="26"/>
    </row>
    <row r="8" spans="3:9">
      <c r="D8" s="22"/>
      <c r="F8" s="27"/>
      <c r="G8" s="14" t="s">
        <v>52</v>
      </c>
      <c r="H8" s="14">
        <f>$H$11+0.2</f>
        <v>2.7</v>
      </c>
      <c r="I8" s="28"/>
    </row>
    <row r="9" spans="3:9">
      <c r="C9" s="14" t="s">
        <v>68</v>
      </c>
      <c r="D9" s="15">
        <f>IF(AND(Interface!$C$9="Toiture terrasse",ISNUMBER($D$5)=TRUE),MAX($D$5,(1000*10*Interface!$C$10)/100000),(1000*10*Interface!$C$10)/100000)</f>
        <v>1.5</v>
      </c>
      <c r="F9" s="27"/>
      <c r="G9" s="14" t="s">
        <v>16</v>
      </c>
      <c r="H9" s="15">
        <f>$D$9+1</f>
        <v>2.5</v>
      </c>
      <c r="I9" s="28"/>
    </row>
    <row r="10" spans="3:9">
      <c r="C10" s="14" t="s">
        <v>67</v>
      </c>
      <c r="D10" s="14">
        <f>IF(AND(Interface!$C$19&gt;100,Interface!$C$16="Eau"),P.Vaporisation!$I$9,IF(AND(Interface!$C$19&gt;100,Interface!$C$16="Eau+Ethylène de glycol"),P.Vaporisation!$I$20,IF(AND(Interface!$C$19&gt;100,Interface!$C$16="Eau+Propylène de glycol"),P.Vaporisation!$I$16,0)))</f>
        <v>0</v>
      </c>
      <c r="F10" s="27"/>
      <c r="I10" s="28"/>
    </row>
    <row r="11" spans="3:9">
      <c r="C11" s="21" t="s">
        <v>66</v>
      </c>
      <c r="D11" s="14">
        <f>IF(AND(Interface!$C$8="Solaire",Interface!$C$11="En aval du circulateur"),$D$9+0.3+$H$22+Interface!$C$24,IF(AND(Interface!$C$8="Solaire",Interface!$C$11="En amont du circulateur "),$D$9+0.3+$H$22,IF(AND(Interface!$C$8="Chauffage ",($D$9/0.5-INT($D$9/0.5))=0),$D$9+0.5,IF(AND(Interface!$C$8="Chauffage ",($D$9/0.5-INT($D$9/0.5))&lt;&gt;0),CEILING($D$9,0.5),IF(Interface!$C$8="ECS",Interface!$C$10-0.3,CEILING($D$9,0.5))))))</f>
        <v>2</v>
      </c>
      <c r="F11" s="27"/>
      <c r="G11" s="21" t="s">
        <v>38</v>
      </c>
      <c r="H11" s="14">
        <f>IF(AND(Interface!$C$8="Solaire",Interface!$C$11="En aval du circulateur"),$H$9+0.3+$H$22+Interface!$C$24,IF(AND(Interface!$C$8="Solaire",Interface!$C$11="En amont du circulateur"),$H$9+0.3+$H$22,IF(Interface!$C$8="Chauffage ",ROUNDUP($H$9*2,0)/2,IF(Interface!$C$8="ECS",Interface!$C$10-0.3,ROUNDUP($H$9*2,0)/2))))</f>
        <v>2.5</v>
      </c>
      <c r="I11" s="28"/>
    </row>
    <row r="12" spans="3:9">
      <c r="C12" s="21" t="s">
        <v>65</v>
      </c>
      <c r="D12" s="14">
        <f>0.9*Interface!$C$22</f>
        <v>5.4</v>
      </c>
      <c r="F12" s="27"/>
      <c r="G12" s="21" t="s">
        <v>47</v>
      </c>
      <c r="H12" s="14">
        <f>$D$12+1</f>
        <v>6.4</v>
      </c>
      <c r="I12" s="28"/>
    </row>
    <row r="13" spans="3:9" ht="15.75" thickBot="1">
      <c r="C13" s="21" t="s">
        <v>69</v>
      </c>
      <c r="D13" s="14">
        <f>D11+0.2</f>
        <v>2.2000000000000002</v>
      </c>
      <c r="F13" s="29"/>
      <c r="G13" s="30"/>
      <c r="H13" s="30"/>
      <c r="I13" s="31"/>
    </row>
    <row r="15" spans="3:9">
      <c r="G15" s="21" t="s">
        <v>57</v>
      </c>
      <c r="H15" s="21">
        <f>IF(0.005*(Interface!$C$13)&lt;3,3,0.005*(Interface!$C$13))</f>
        <v>3</v>
      </c>
    </row>
    <row r="16" spans="3:9">
      <c r="G16" s="21" t="s">
        <v>54</v>
      </c>
      <c r="H16" s="21">
        <f>$H$17*($H$12*$H$8)/($H$11*($H$12-$H$8))</f>
        <v>1.5878918918918921</v>
      </c>
    </row>
    <row r="17" spans="1:9">
      <c r="G17" s="21" t="s">
        <v>55</v>
      </c>
      <c r="H17" s="21">
        <f>IF(Interface!$C$19=130,(Interface!$C$13/1000)*Béta!$B$31,(Interface!$C$13/1000)*Béta!$B$29)</f>
        <v>0.85000000000000009</v>
      </c>
    </row>
    <row r="18" spans="1:9" ht="15.75" thickBot="1"/>
    <row r="19" spans="1:9" ht="15.75" thickBot="1">
      <c r="G19" s="48" t="s">
        <v>42</v>
      </c>
      <c r="H19" s="49"/>
    </row>
    <row r="20" spans="1:9">
      <c r="F20" s="24"/>
      <c r="G20" s="25"/>
      <c r="H20" s="25"/>
      <c r="I20" s="26"/>
    </row>
    <row r="21" spans="1:9">
      <c r="F21" s="27"/>
      <c r="I21" s="28"/>
    </row>
    <row r="22" spans="1:9">
      <c r="F22" s="27"/>
      <c r="G22" s="14" t="s">
        <v>17</v>
      </c>
      <c r="H22" s="14">
        <f>IF(AND(Interface!$C$19&gt;100,Interface!$C$16="Eau"),P.Vaporisation!$I$8,IF(AND(Interface!$C$19&gt;100,Interface!$C$16="Eau+Ethylène de glycol"),P.Vaporisation!$I$17,IF(AND(Interface!$C$19&gt;100,Interface!$C$21="Eau+Propylène de glycol"),P.Vaporisation!$I$17,0)))</f>
        <v>0</v>
      </c>
      <c r="I22" s="28"/>
    </row>
    <row r="23" spans="1:9">
      <c r="F23" s="27"/>
      <c r="G23" s="21" t="s">
        <v>58</v>
      </c>
      <c r="H23" s="21">
        <f>IF(Interface!$C$8="Solaire",1.1*Interface!$C$14,0)</f>
        <v>0</v>
      </c>
      <c r="I23" s="28"/>
    </row>
    <row r="24" spans="1:9" ht="15.75" thickBot="1">
      <c r="C24" s="15" t="s">
        <v>41</v>
      </c>
      <c r="F24" s="27"/>
      <c r="G24" s="32"/>
      <c r="H24" s="32"/>
      <c r="I24" s="28"/>
    </row>
    <row r="25" spans="1:9" ht="15.75" thickBot="1">
      <c r="B25" s="48" t="s">
        <v>53</v>
      </c>
      <c r="C25" s="49"/>
      <c r="F25" s="27"/>
      <c r="G25" s="21" t="s">
        <v>56</v>
      </c>
      <c r="H25" s="21">
        <f>(H17+H15+H23)*(H12/(H12-H11))</f>
        <v>6.3179487179487177</v>
      </c>
      <c r="I25" s="28"/>
    </row>
    <row r="26" spans="1:9" ht="15.75" thickBot="1">
      <c r="A26" s="24"/>
      <c r="B26" s="25"/>
      <c r="C26" s="25"/>
      <c r="D26" s="26"/>
      <c r="F26" s="29"/>
      <c r="G26" s="30"/>
      <c r="H26" s="30"/>
      <c r="I26" s="31"/>
    </row>
    <row r="27" spans="1:9">
      <c r="A27" s="27"/>
      <c r="B27" s="14" t="s">
        <v>52</v>
      </c>
      <c r="C27" s="14">
        <f>$C$30+0.2</f>
        <v>2.7</v>
      </c>
      <c r="D27" s="28"/>
    </row>
    <row r="28" spans="1:9">
      <c r="A28" s="27"/>
      <c r="B28" s="14" t="s">
        <v>16</v>
      </c>
      <c r="C28" s="15">
        <f>Interface!$C$10+1</f>
        <v>16</v>
      </c>
      <c r="D28" s="28"/>
    </row>
    <row r="29" spans="1:9">
      <c r="A29" s="27"/>
      <c r="D29" s="28"/>
    </row>
    <row r="30" spans="1:9">
      <c r="A30" s="27"/>
      <c r="B30" s="21" t="s">
        <v>38</v>
      </c>
      <c r="C30" s="14">
        <f>IF(AND(Interface!$C$8="Solaire",Interface!$C$11="En aval du circulateur"),$H$9+0.3+$H$22+Interface!$C$24,IF(AND(Interface!$C$8="Solaire",Interface!$C$11="En amont du circulateur"),$H$9+0.3+$H$22,IF(Interface!$C$8="Chauffage ",ROUNDUP($H$9*2,0)/2,IF(Interface!$C$8="ECS",Interface!$C$10-0.3,ROUNDUP($H$9*2,0)/2))))</f>
        <v>2.5</v>
      </c>
      <c r="D30" s="28"/>
      <c r="F30" s="14">
        <f>$H$9</f>
        <v>2.5</v>
      </c>
      <c r="G30" s="14">
        <f>IF($F$31&lt;&gt;0,CEILING(F30,0.5),$F$30+0.5)</f>
        <v>3</v>
      </c>
    </row>
    <row r="31" spans="1:9">
      <c r="A31" s="27"/>
      <c r="B31" s="21" t="s">
        <v>47</v>
      </c>
      <c r="C31" s="14">
        <f>$D$12+1</f>
        <v>6.4</v>
      </c>
      <c r="D31" s="28"/>
      <c r="F31" s="14">
        <f>CEILING(F30,0.5)-F30</f>
        <v>0</v>
      </c>
    </row>
    <row r="32" spans="1:9" ht="15.75" thickBot="1">
      <c r="A32" s="29"/>
      <c r="B32" s="30"/>
      <c r="C32" s="30"/>
      <c r="D32" s="31"/>
    </row>
    <row r="34" spans="2:8">
      <c r="B34" s="21" t="s">
        <v>57</v>
      </c>
      <c r="C34" s="21">
        <f>IF(0.005*(Interface!$C$13)&lt;3,3,0.005*(Interface!$C$13))</f>
        <v>3</v>
      </c>
    </row>
    <row r="35" spans="2:8">
      <c r="B35" s="21" t="s">
        <v>54</v>
      </c>
      <c r="C35" s="21">
        <f>$C$36*($C$31*$C$27)/($C$30*($C$31-$C$27))</f>
        <v>1.5878918918918921</v>
      </c>
      <c r="G35" s="14" t="s">
        <v>93</v>
      </c>
      <c r="H35" s="14">
        <f>IF(ISTEXT(Interface!$C$8)=FALSE,0,IF(Interface!$C$8="Chauffage ",ROUNDUP($H$16*2,0)/2,IF(Interface!$C$8="Solaire",ROUNDUP($H$25*2,0)/2,IF(Interface!$C$8="ECS",$C$43,0))))</f>
        <v>2</v>
      </c>
    </row>
    <row r="36" spans="2:8">
      <c r="B36" s="21" t="s">
        <v>55</v>
      </c>
      <c r="C36" s="21">
        <f>IF(Interface!$C$19=130,(Interface!$C$13/1000)*Béta!$B$31,(Interface!$C$13/1000)*Béta!$B$29)</f>
        <v>0.85000000000000009</v>
      </c>
    </row>
    <row r="41" spans="2:8">
      <c r="B41" s="14" t="s">
        <v>91</v>
      </c>
      <c r="C41" s="14">
        <f>C36*((Interface!$C$22+0.5)*($C$30+1.3))/(($C$30+1)*(Interface!$C$22-C30-0.8))</f>
        <v>2.2216931216931215</v>
      </c>
    </row>
    <row r="43" spans="2:8">
      <c r="B43" s="14" t="s">
        <v>92</v>
      </c>
      <c r="C43" s="14">
        <f>ROUND(C41,0)</f>
        <v>2</v>
      </c>
    </row>
  </sheetData>
  <sheetProtection password="C782" sheet="1" objects="1" scenarios="1"/>
  <mergeCells count="3">
    <mergeCell ref="G6:H6"/>
    <mergeCell ref="G19:H19"/>
    <mergeCell ref="B25:C25"/>
  </mergeCells>
  <dataValidations count="1">
    <dataValidation type="list" allowBlank="1" showInputMessage="1" showErrorMessage="1" sqref="D2">
      <formula1>Chaufferie</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sheetPr codeName="Feuil4"/>
  <dimension ref="A2:J22"/>
  <sheetViews>
    <sheetView workbookViewId="0">
      <selection sqref="A1:XFD1048576"/>
    </sheetView>
  </sheetViews>
  <sheetFormatPr baseColWidth="10" defaultRowHeight="15"/>
  <cols>
    <col min="1" max="1" width="11.42578125" style="16"/>
    <col min="2" max="2" width="17.85546875" style="16" bestFit="1" customWidth="1"/>
    <col min="3" max="3" width="19.42578125" style="16" customWidth="1"/>
    <col min="4" max="7" width="11.42578125" style="16"/>
    <col min="8" max="8" width="35.42578125" style="16" bestFit="1" customWidth="1"/>
    <col min="9" max="9" width="16.7109375" style="16" customWidth="1"/>
    <col min="10" max="16384" width="11.42578125" style="16"/>
  </cols>
  <sheetData>
    <row r="2" spans="1:10">
      <c r="B2" s="14" t="s">
        <v>33</v>
      </c>
      <c r="C2" s="14">
        <f>Interface!$C$17</f>
        <v>0.3</v>
      </c>
    </row>
    <row r="3" spans="1:10" ht="15.75" thickBot="1"/>
    <row r="4" spans="1:10" ht="14.25" customHeight="1">
      <c r="A4" s="24"/>
      <c r="B4" s="25"/>
      <c r="C4" s="25"/>
      <c r="D4" s="25"/>
      <c r="E4" s="25"/>
      <c r="F4" s="25"/>
      <c r="G4" s="25"/>
      <c r="H4" s="25"/>
      <c r="I4" s="25"/>
      <c r="J4" s="26"/>
    </row>
    <row r="5" spans="1:10" ht="39.75" customHeight="1">
      <c r="A5" s="27"/>
      <c r="B5" s="53" t="s">
        <v>28</v>
      </c>
      <c r="C5" s="54"/>
      <c r="D5" s="32"/>
      <c r="E5" s="50" t="s">
        <v>18</v>
      </c>
      <c r="F5" s="51"/>
      <c r="G5" s="32"/>
      <c r="H5" s="52" t="s">
        <v>25</v>
      </c>
      <c r="I5" s="52"/>
      <c r="J5" s="28"/>
    </row>
    <row r="6" spans="1:10">
      <c r="A6" s="27"/>
      <c r="B6" s="14" t="s">
        <v>29</v>
      </c>
      <c r="C6" s="14">
        <f>273.15+Interface!$C$19</f>
        <v>333.15</v>
      </c>
      <c r="D6" s="32"/>
      <c r="E6" s="15" t="s">
        <v>19</v>
      </c>
      <c r="F6" s="14">
        <v>-7.8595178299999997</v>
      </c>
      <c r="G6" s="32"/>
      <c r="H6" s="14" t="s">
        <v>26</v>
      </c>
      <c r="I6" s="15">
        <v>220.64</v>
      </c>
      <c r="J6" s="28"/>
    </row>
    <row r="7" spans="1:10">
      <c r="A7" s="27"/>
      <c r="B7" s="32"/>
      <c r="C7" s="32"/>
      <c r="D7" s="32"/>
      <c r="E7" s="15" t="s">
        <v>20</v>
      </c>
      <c r="F7" s="15">
        <v>1.84408259</v>
      </c>
      <c r="G7" s="32"/>
      <c r="H7" s="14" t="s">
        <v>27</v>
      </c>
      <c r="I7" s="15">
        <v>647.096</v>
      </c>
      <c r="J7" s="28"/>
    </row>
    <row r="8" spans="1:10">
      <c r="A8" s="27"/>
      <c r="B8" s="32"/>
      <c r="C8" s="32"/>
      <c r="D8" s="32"/>
      <c r="E8" s="15" t="s">
        <v>21</v>
      </c>
      <c r="F8" s="15">
        <v>-11.7866497</v>
      </c>
      <c r="G8" s="32"/>
      <c r="H8" s="14" t="s">
        <v>34</v>
      </c>
      <c r="I8" s="33">
        <f>$I$6*$C$11</f>
        <v>0.19947382521598619</v>
      </c>
      <c r="J8" s="28"/>
    </row>
    <row r="9" spans="1:10">
      <c r="A9" s="27"/>
      <c r="B9" s="14" t="s">
        <v>30</v>
      </c>
      <c r="C9" s="14">
        <f>1-($C$6/$I$7)</f>
        <v>0.48516139799967861</v>
      </c>
      <c r="D9" s="34"/>
      <c r="E9" s="15" t="s">
        <v>22</v>
      </c>
      <c r="F9" s="15">
        <v>22.680741099999999</v>
      </c>
      <c r="G9" s="32"/>
      <c r="H9" s="21" t="s">
        <v>35</v>
      </c>
      <c r="I9" s="33">
        <f>$I$8-1.01325</f>
        <v>-0.81377617478401376</v>
      </c>
      <c r="J9" s="28"/>
    </row>
    <row r="10" spans="1:10">
      <c r="A10" s="27"/>
      <c r="B10" s="14" t="s">
        <v>32</v>
      </c>
      <c r="C10" s="14">
        <f>($I$7/$C$6)*(($F$6*$C$9)+(F7*POWER($C$9,1.5))+($F$8*POWER($C$9,3))+($F$9*POWER($C$9,3.5))+($F$10*POWER($C$9,4))+($F$11*POWER($C$9,7.5)))</f>
        <v>-7.0086046672298172</v>
      </c>
      <c r="D10" s="32"/>
      <c r="E10" s="15" t="s">
        <v>23</v>
      </c>
      <c r="F10" s="15">
        <v>-15.9618719</v>
      </c>
      <c r="G10" s="32"/>
      <c r="H10" s="32"/>
      <c r="I10" s="32"/>
      <c r="J10" s="28"/>
    </row>
    <row r="11" spans="1:10">
      <c r="A11" s="27"/>
      <c r="B11" s="21" t="s">
        <v>31</v>
      </c>
      <c r="C11" s="14">
        <f>EXP($C$10)</f>
        <v>9.0406918607680476E-4</v>
      </c>
      <c r="D11" s="32"/>
      <c r="E11" s="15" t="s">
        <v>24</v>
      </c>
      <c r="F11" s="15">
        <v>1.80122502</v>
      </c>
      <c r="G11" s="32"/>
      <c r="H11" s="32"/>
      <c r="I11" s="32"/>
      <c r="J11" s="28"/>
    </row>
    <row r="12" spans="1:10">
      <c r="A12" s="27"/>
      <c r="B12" s="32"/>
      <c r="C12" s="32"/>
      <c r="D12" s="32"/>
      <c r="E12" s="32"/>
      <c r="F12" s="32"/>
      <c r="G12" s="32"/>
      <c r="H12" s="32"/>
      <c r="I12" s="32"/>
      <c r="J12" s="28"/>
    </row>
    <row r="13" spans="1:10">
      <c r="A13" s="27"/>
      <c r="B13" s="32"/>
      <c r="C13" s="32"/>
      <c r="D13" s="32"/>
      <c r="E13" s="32"/>
      <c r="F13" s="32"/>
      <c r="G13" s="32"/>
      <c r="H13" s="32"/>
      <c r="I13" s="32"/>
      <c r="J13" s="28"/>
    </row>
    <row r="14" spans="1:10">
      <c r="A14" s="27"/>
      <c r="B14" s="32"/>
      <c r="C14" s="32"/>
      <c r="D14" s="32"/>
      <c r="E14" s="32"/>
      <c r="F14" s="32"/>
      <c r="G14" s="32"/>
      <c r="H14" s="32"/>
      <c r="I14" s="32"/>
      <c r="J14" s="28"/>
    </row>
    <row r="15" spans="1:10">
      <c r="A15" s="27"/>
      <c r="B15" s="32"/>
      <c r="C15" s="32"/>
      <c r="D15" s="32"/>
      <c r="E15" s="32"/>
      <c r="F15" s="32"/>
      <c r="G15" s="32"/>
      <c r="H15" s="52" t="s">
        <v>36</v>
      </c>
      <c r="I15" s="52"/>
      <c r="J15" s="28"/>
    </row>
    <row r="16" spans="1:10">
      <c r="A16" s="27"/>
      <c r="B16" s="32"/>
      <c r="C16" s="32"/>
      <c r="D16" s="32"/>
      <c r="E16" s="32"/>
      <c r="F16" s="32"/>
      <c r="G16" s="32"/>
      <c r="H16" s="21" t="s">
        <v>35</v>
      </c>
      <c r="I16" s="15">
        <f>$I$9*(1-0.1575*($C$2/100)-0.023)</f>
        <v>-0.79467481352139602</v>
      </c>
      <c r="J16" s="28"/>
    </row>
    <row r="17" spans="1:10">
      <c r="A17" s="27"/>
      <c r="B17" s="32"/>
      <c r="C17" s="32"/>
      <c r="D17" s="32"/>
      <c r="E17" s="32"/>
      <c r="F17" s="32"/>
      <c r="G17" s="32"/>
      <c r="H17" s="21" t="s">
        <v>34</v>
      </c>
      <c r="I17" s="15">
        <f>1+$I$16</f>
        <v>0.20532518647860398</v>
      </c>
      <c r="J17" s="28"/>
    </row>
    <row r="18" spans="1:10">
      <c r="A18" s="27"/>
      <c r="B18" s="32"/>
      <c r="C18" s="32"/>
      <c r="D18" s="32"/>
      <c r="E18" s="32"/>
      <c r="F18" s="32"/>
      <c r="G18" s="32"/>
      <c r="H18" s="32"/>
      <c r="I18" s="32"/>
      <c r="J18" s="28"/>
    </row>
    <row r="19" spans="1:10">
      <c r="A19" s="27"/>
      <c r="B19" s="32"/>
      <c r="C19" s="32"/>
      <c r="D19" s="32"/>
      <c r="E19" s="32"/>
      <c r="F19" s="32"/>
      <c r="G19" s="32"/>
      <c r="H19" s="52" t="s">
        <v>37</v>
      </c>
      <c r="I19" s="52"/>
      <c r="J19" s="28"/>
    </row>
    <row r="20" spans="1:10">
      <c r="A20" s="27"/>
      <c r="B20" s="32"/>
      <c r="C20" s="32"/>
      <c r="D20" s="32"/>
      <c r="E20" s="32"/>
      <c r="F20" s="32"/>
      <c r="G20" s="32"/>
      <c r="H20" s="21" t="s">
        <v>35</v>
      </c>
      <c r="I20" s="15">
        <f>$I$9*(1-(1.1934*$C$2-11.0686)/100)</f>
        <v>-0.90093632300519544</v>
      </c>
      <c r="J20" s="28"/>
    </row>
    <row r="21" spans="1:10">
      <c r="A21" s="27"/>
      <c r="B21" s="32"/>
      <c r="C21" s="32"/>
      <c r="D21" s="32"/>
      <c r="E21" s="32"/>
      <c r="F21" s="32"/>
      <c r="G21" s="32"/>
      <c r="H21" s="21" t="s">
        <v>34</v>
      </c>
      <c r="I21" s="14">
        <f>1+$I$20</f>
        <v>9.9063676994804561E-2</v>
      </c>
      <c r="J21" s="28"/>
    </row>
    <row r="22" spans="1:10" ht="15.75" thickBot="1">
      <c r="A22" s="29"/>
      <c r="B22" s="30"/>
      <c r="C22" s="30"/>
      <c r="D22" s="30"/>
      <c r="E22" s="30"/>
      <c r="F22" s="30"/>
      <c r="G22" s="30"/>
      <c r="H22" s="30"/>
      <c r="I22" s="30"/>
      <c r="J22" s="31"/>
    </row>
  </sheetData>
  <sheetProtection password="C782" sheet="1" objects="1" scenarios="1"/>
  <mergeCells count="5">
    <mergeCell ref="E5:F5"/>
    <mergeCell ref="H5:I5"/>
    <mergeCell ref="B5:C5"/>
    <mergeCell ref="H15:I15"/>
    <mergeCell ref="H19:I19"/>
  </mergeCells>
  <pageMargins left="0.7" right="0.7" top="0.75" bottom="0.75" header="0.3" footer="0.3"/>
</worksheet>
</file>

<file path=xl/worksheets/sheet5.xml><?xml version="1.0" encoding="utf-8"?>
<worksheet xmlns="http://schemas.openxmlformats.org/spreadsheetml/2006/main" xmlns:r="http://schemas.openxmlformats.org/officeDocument/2006/relationships">
  <sheetPr codeName="Feuil6"/>
  <dimension ref="C1:C6"/>
  <sheetViews>
    <sheetView showRowColHeaders="0" tabSelected="1" workbookViewId="0">
      <selection activeCell="B37" sqref="B37"/>
    </sheetView>
  </sheetViews>
  <sheetFormatPr baseColWidth="10" defaultColWidth="11.42578125" defaultRowHeight="15"/>
  <cols>
    <col min="1" max="16384" width="11.42578125" style="2"/>
  </cols>
  <sheetData>
    <row r="1" spans="3:3" ht="7.5" customHeight="1"/>
    <row r="6" spans="3:3">
      <c r="C6"/>
    </row>
  </sheetData>
  <sheetProtection password="C782" sheet="1" objects="1" scenarios="1"/>
  <pageMargins left="0.70866141732283472" right="0.70866141732283472" top="0.74803149606299213" bottom="0.74803149606299213" header="0.31496062992125984" footer="0.31496062992125984"/>
  <pageSetup paperSize="9" orientation="landscape" r:id="rId1"/>
  <drawing r:id="rId2"/>
</worksheet>
</file>

<file path=xl/worksheets/sheet6.xml><?xml version="1.0" encoding="utf-8"?>
<worksheet xmlns="http://schemas.openxmlformats.org/spreadsheetml/2006/main" xmlns:r="http://schemas.openxmlformats.org/officeDocument/2006/relationships">
  <sheetPr codeName="Feuil5"/>
  <dimension ref="B5:G32"/>
  <sheetViews>
    <sheetView showRowColHeaders="0" workbookViewId="0">
      <selection activeCell="F30" sqref="F30"/>
    </sheetView>
  </sheetViews>
  <sheetFormatPr baseColWidth="10" defaultColWidth="11.42578125" defaultRowHeight="15"/>
  <cols>
    <col min="1" max="1" width="11.42578125" style="3"/>
    <col min="2" max="2" width="43.85546875" style="3" bestFit="1" customWidth="1"/>
    <col min="3" max="3" width="25.5703125" style="3" bestFit="1" customWidth="1"/>
    <col min="4" max="4" width="5.28515625" style="3" customWidth="1"/>
    <col min="5" max="5" width="6.28515625" style="3" customWidth="1"/>
    <col min="6" max="6" width="27.5703125" style="3" bestFit="1" customWidth="1"/>
    <col min="7" max="16384" width="11.42578125" style="3"/>
  </cols>
  <sheetData>
    <row r="5" spans="2:7" ht="20.100000000000001" customHeight="1"/>
    <row r="6" spans="2:7" ht="20.100000000000001" customHeight="1"/>
    <row r="7" spans="2:7" ht="20.100000000000001" customHeight="1"/>
    <row r="8" spans="2:7" ht="20.100000000000001" customHeight="1">
      <c r="B8" s="5" t="s">
        <v>84</v>
      </c>
      <c r="C8" s="42" t="s">
        <v>40</v>
      </c>
    </row>
    <row r="9" spans="2:7" ht="20.100000000000001" customHeight="1">
      <c r="B9" s="5" t="s">
        <v>14</v>
      </c>
      <c r="C9" s="42" t="s">
        <v>62</v>
      </c>
      <c r="F9" s="9"/>
      <c r="G9" s="9"/>
    </row>
    <row r="10" spans="2:7" ht="20.100000000000001" customHeight="1">
      <c r="B10" s="5" t="str">
        <f>IF(C8&lt;&gt;"ECS","Hauteur de l'installation [m]","Pression du réseau d'eau de ville [bar]")</f>
        <v>Hauteur de l'installation [m]</v>
      </c>
      <c r="C10" s="42">
        <v>15</v>
      </c>
      <c r="F10" s="8" t="s">
        <v>16</v>
      </c>
      <c r="G10" s="44">
        <f>IF(ISTEXT($C$8)=FALSE,0,IF(ISNUMBER(Pressions!$D$9)=TRUE,Pressions!$D$9,0))</f>
        <v>1.5</v>
      </c>
    </row>
    <row r="11" spans="2:7" ht="20.100000000000001" customHeight="1">
      <c r="B11" s="5" t="s">
        <v>39</v>
      </c>
      <c r="C11" s="42" t="s">
        <v>61</v>
      </c>
      <c r="F11" s="8" t="s">
        <v>17</v>
      </c>
      <c r="G11" s="45">
        <f>IF(ISTEXT($C$8)=FALSE,0,IF(ISNUMBER(Pressions!$D$10)=TRUE,Pressions!$D$10,0))</f>
        <v>0</v>
      </c>
    </row>
    <row r="12" spans="2:7" ht="20.100000000000001" customHeight="1">
      <c r="B12" s="6"/>
      <c r="C12" s="4"/>
      <c r="F12" s="8" t="s">
        <v>47</v>
      </c>
      <c r="G12" s="44">
        <f>IF(ISTEXT($C$8)=FALSE,0,IF(ISNUMBER(Pressions!$D$12)=TRUE,Pressions!$D$12,0))</f>
        <v>5.4</v>
      </c>
    </row>
    <row r="13" spans="2:7" ht="20.100000000000001" customHeight="1">
      <c r="B13" s="5" t="str">
        <f>IF(C8&lt;&gt;"ECS","Volume total de l'installation [l]","Volume du ballon de production d'eau chaude [l]")</f>
        <v>Volume total de l'installation [l]</v>
      </c>
      <c r="C13" s="42">
        <v>50</v>
      </c>
      <c r="F13" s="8" t="s">
        <v>52</v>
      </c>
      <c r="G13" s="44">
        <f>IF(ISTEXT($C$8)=FALSE,0,IF(ISNUMBER(Pressions!$D$13)=TRUE,Pressions!$D$13,0))</f>
        <v>2.2000000000000002</v>
      </c>
    </row>
    <row r="14" spans="2:7" ht="20.100000000000001" customHeight="1">
      <c r="B14" s="5" t="s">
        <v>59</v>
      </c>
      <c r="C14" s="42">
        <v>7</v>
      </c>
      <c r="F14" s="9"/>
      <c r="G14" s="9"/>
    </row>
    <row r="15" spans="2:7" ht="20.100000000000001" customHeight="1">
      <c r="B15" s="6"/>
      <c r="C15" s="4"/>
      <c r="F15" s="8" t="s">
        <v>60</v>
      </c>
      <c r="G15" s="44">
        <f>Pressions!$H$17</f>
        <v>0.85000000000000009</v>
      </c>
    </row>
    <row r="16" spans="2:7" ht="20.100000000000001" customHeight="1">
      <c r="B16" s="5" t="s">
        <v>86</v>
      </c>
      <c r="C16" s="42" t="s">
        <v>1</v>
      </c>
      <c r="F16" s="8" t="s">
        <v>89</v>
      </c>
      <c r="G16" s="45">
        <f>IF(ISTEXT($C$8)=FALSE,0,IF(0.005*($C$13)&lt;3,3,0.005*($C$13)))</f>
        <v>3</v>
      </c>
    </row>
    <row r="17" spans="2:7" ht="20.100000000000001" customHeight="1">
      <c r="B17" s="5" t="s">
        <v>11</v>
      </c>
      <c r="C17" s="43">
        <v>0.3</v>
      </c>
      <c r="F17" s="8" t="s">
        <v>83</v>
      </c>
      <c r="G17" s="45">
        <f>IF(ISTEXT($C$8)=FALSE,0,IF($C$8="Solaire",1.1*$C$14,0))</f>
        <v>0</v>
      </c>
    </row>
    <row r="18" spans="2:7" ht="20.100000000000001" customHeight="1">
      <c r="B18" s="6"/>
      <c r="C18" s="4"/>
      <c r="F18" s="9"/>
      <c r="G18" s="9"/>
    </row>
    <row r="19" spans="2:7" ht="20.100000000000001" customHeight="1">
      <c r="B19" s="5" t="s">
        <v>48</v>
      </c>
      <c r="C19" s="42">
        <v>60</v>
      </c>
      <c r="F19" s="10" t="s">
        <v>38</v>
      </c>
      <c r="G19" s="44">
        <f>IF(OR(ISTEXT($C$8)=FALSE,Pressions!$D$11&lt;0),0,Pressions!$D$11)</f>
        <v>2</v>
      </c>
    </row>
    <row r="20" spans="2:7" ht="20.100000000000001" customHeight="1">
      <c r="F20" s="10" t="s">
        <v>88</v>
      </c>
      <c r="G20" s="45">
        <f>IF(Pressions!$H$35&lt;0,"---",Pressions!$H$35)</f>
        <v>2</v>
      </c>
    </row>
    <row r="21" spans="2:7" ht="20.100000000000001" customHeight="1">
      <c r="B21" s="6"/>
      <c r="C21" s="4"/>
      <c r="F21" s="9" t="str">
        <f>IF(Pressions!H35&lt;0,"La pression de tarrage est faible","")</f>
        <v/>
      </c>
      <c r="G21" s="9"/>
    </row>
    <row r="22" spans="2:7" ht="20.100000000000001" customHeight="1">
      <c r="B22" s="5" t="s">
        <v>87</v>
      </c>
      <c r="C22" s="42">
        <v>6</v>
      </c>
    </row>
    <row r="23" spans="2:7" ht="20.100000000000001" customHeight="1">
      <c r="B23" s="7" t="s">
        <v>85</v>
      </c>
      <c r="C23" s="42"/>
    </row>
    <row r="24" spans="2:7" ht="20.100000000000001" customHeight="1">
      <c r="B24" s="5" t="s">
        <v>90</v>
      </c>
      <c r="C24" s="42">
        <v>0.5</v>
      </c>
    </row>
    <row r="25" spans="2:7" ht="20.100000000000001" customHeight="1"/>
    <row r="26" spans="2:7" ht="20.100000000000001" customHeight="1"/>
    <row r="27" spans="2:7" ht="20.100000000000001" customHeight="1"/>
    <row r="28" spans="2:7" ht="7.5" customHeight="1"/>
    <row r="29" spans="2:7" ht="20.100000000000001" customHeight="1"/>
    <row r="30" spans="2:7" ht="20.100000000000001" customHeight="1"/>
    <row r="31" spans="2:7" ht="20.100000000000001" customHeight="1"/>
    <row r="32" spans="2:7" ht="20.100000000000001" customHeight="1"/>
  </sheetData>
  <sheetProtection password="C782" sheet="1" objects="1" scenarios="1"/>
  <conditionalFormatting sqref="B14:C14">
    <cfRule type="expression" dxfId="19" priority="21">
      <formula>OR($C$8="ECS",$C$8="Chauffage ")</formula>
    </cfRule>
  </conditionalFormatting>
  <conditionalFormatting sqref="B17:C17">
    <cfRule type="expression" dxfId="18" priority="20">
      <formula>OR($C$16="Eau",$C$8="ECS")</formula>
    </cfRule>
  </conditionalFormatting>
  <conditionalFormatting sqref="B23:C23">
    <cfRule type="expression" dxfId="17" priority="19">
      <formula>$C$9="Sous-sol &amp; rez de chaussée"</formula>
    </cfRule>
  </conditionalFormatting>
  <conditionalFormatting sqref="B24:C24">
    <cfRule type="expression" dxfId="16" priority="18">
      <formula>$C$11="En amont du circulateur "</formula>
    </cfRule>
  </conditionalFormatting>
  <conditionalFormatting sqref="C16">
    <cfRule type="expression" dxfId="15" priority="17">
      <formula>OR(AND($C$8="ECS",$C$16="Eau+Ethylène de glycol"),AND($C$8="ECS",$C$16="Eau+Propylène de glycol"))</formula>
    </cfRule>
  </conditionalFormatting>
  <conditionalFormatting sqref="F11">
    <cfRule type="expression" dxfId="14" priority="16">
      <formula>OR($C$8="Chauffage ",$C$8="ECS")</formula>
    </cfRule>
  </conditionalFormatting>
  <conditionalFormatting sqref="G11">
    <cfRule type="expression" dxfId="13" priority="15">
      <formula>OR($C$8="Chauffage ",$C$8="ECS")</formula>
    </cfRule>
  </conditionalFormatting>
  <conditionalFormatting sqref="F17">
    <cfRule type="expression" dxfId="12" priority="14">
      <formula>OR($C$8="Chauffage ",$C$8="ECS")</formula>
    </cfRule>
  </conditionalFormatting>
  <conditionalFormatting sqref="G17">
    <cfRule type="expression" dxfId="11" priority="13">
      <formula>OR($C$8="Chauffage ",$C$8="ECS")</formula>
    </cfRule>
  </conditionalFormatting>
  <conditionalFormatting sqref="B9">
    <cfRule type="expression" dxfId="10" priority="12">
      <formula>$C$8="Solaire"</formula>
    </cfRule>
  </conditionalFormatting>
  <conditionalFormatting sqref="C9">
    <cfRule type="expression" dxfId="9" priority="11">
      <formula>$C$8="Solaire"</formula>
    </cfRule>
  </conditionalFormatting>
  <conditionalFormatting sqref="B24">
    <cfRule type="expression" dxfId="8" priority="6">
      <formula>OR($C$8="Chauffage ",$C$8="ECS")</formula>
    </cfRule>
    <cfRule type="expression" dxfId="7" priority="9">
      <formula>OR($C$8="Chauffage",$C$8="ECS")</formula>
    </cfRule>
  </conditionalFormatting>
  <conditionalFormatting sqref="B11">
    <cfRule type="expression" dxfId="6" priority="8">
      <formula>OR($C$8="Chauffage ",$C$8="ECS")</formula>
    </cfRule>
  </conditionalFormatting>
  <conditionalFormatting sqref="C11">
    <cfRule type="expression" dxfId="5" priority="7">
      <formula>OR($C$8="Chauffage ",$C$8="ECS")</formula>
    </cfRule>
  </conditionalFormatting>
  <conditionalFormatting sqref="C24">
    <cfRule type="expression" dxfId="4" priority="5">
      <formula>OR($C$8="Chauffage ",$C$8="ECS")</formula>
    </cfRule>
  </conditionalFormatting>
  <conditionalFormatting sqref="F21">
    <cfRule type="expression" dxfId="3" priority="4">
      <formula>$F$21="La pression de tarrage est faible"</formula>
    </cfRule>
  </conditionalFormatting>
  <conditionalFormatting sqref="F10">
    <cfRule type="expression" dxfId="2" priority="3">
      <formula>$C$8="ECS"</formula>
    </cfRule>
  </conditionalFormatting>
  <conditionalFormatting sqref="G10">
    <cfRule type="expression" dxfId="1" priority="2">
      <formula>$C$8="ECS"</formula>
    </cfRule>
  </conditionalFormatting>
  <conditionalFormatting sqref="F16:G16">
    <cfRule type="expression" dxfId="0" priority="1">
      <formula>$C$8="ECS"</formula>
    </cfRule>
  </conditionalFormatting>
  <dataValidations count="8">
    <dataValidation type="list" allowBlank="1" showInputMessage="1" showErrorMessage="1" sqref="C11">
      <formula1>Pompe</formula1>
    </dataValidation>
    <dataValidation type="list" allowBlank="1" showInputMessage="1" showErrorMessage="1" sqref="C17">
      <formula1>glycol</formula1>
    </dataValidation>
    <dataValidation type="list" allowBlank="1" showInputMessage="1" showErrorMessage="1" sqref="C16">
      <formula1>IF($C$8="ECS",ecs,Antigel)</formula1>
    </dataValidation>
    <dataValidation type="list" allowBlank="1" showInputMessage="1" showErrorMessage="1" sqref="C9">
      <formula1>Chaufferie</formula1>
    </dataValidation>
    <dataValidation type="list" allowBlank="1" showInputMessage="1" showErrorMessage="1" sqref="C8">
      <formula1>type</formula1>
    </dataValidation>
    <dataValidation type="custom" allowBlank="1" showInputMessage="1" showErrorMessage="1" errorTitle="Rappel" error="la température de remplissage doit être inférieure à la température moyenne de l'installation." sqref="C20">
      <formula1>C20&lt;C19</formula1>
    </dataValidation>
    <dataValidation type="custom" allowBlank="1" showInputMessage="1" showErrorMessage="1" errorTitle="Rappel" error="la température limite de l'outil est 130 °C." sqref="C19">
      <formula1>C19&lt;=130</formula1>
    </dataValidation>
    <dataValidation type="custom" allowBlank="1" showInputMessage="1" showErrorMessage="1" errorTitle="Rappel" error="La pression de tarrage doit être supérieur à 3 bar" sqref="C22">
      <formula1>C22&gt;=3</formula1>
    </dataValidation>
  </dataValidations>
  <pageMargins left="0.70866141732283472" right="0.70866141732283472" top="0.74803149606299213" bottom="0.74803149606299213" header="0.31496062992125984" footer="0.31496062992125984"/>
  <pageSetup paperSize="9" scale="75" orientation="landscape" r:id="rId1"/>
  <drawing r:id="rId2"/>
  <legacyDrawing r:id="rId3"/>
</worksheet>
</file>

<file path=xl/worksheets/sheet7.xml><?xml version="1.0" encoding="utf-8"?>
<worksheet xmlns="http://schemas.openxmlformats.org/spreadsheetml/2006/main" xmlns:r="http://schemas.openxmlformats.org/officeDocument/2006/relationships">
  <dimension ref="C2:F5"/>
  <sheetViews>
    <sheetView workbookViewId="0">
      <selection sqref="A1:XFD1048576"/>
    </sheetView>
  </sheetViews>
  <sheetFormatPr baseColWidth="10" defaultRowHeight="15"/>
  <cols>
    <col min="1" max="5" width="11.42578125" style="16"/>
    <col min="6" max="6" width="25.5703125" style="16" customWidth="1"/>
    <col min="7" max="16384" width="11.42578125" style="16"/>
  </cols>
  <sheetData>
    <row r="2" spans="3:6">
      <c r="F2" s="35"/>
    </row>
    <row r="3" spans="3:6" ht="199.5" customHeight="1">
      <c r="E3" s="36" t="s">
        <v>41</v>
      </c>
      <c r="F3" s="37"/>
    </row>
    <row r="4" spans="3:6" ht="185.25" customHeight="1">
      <c r="C4" s="38"/>
      <c r="E4" s="39" t="s">
        <v>94</v>
      </c>
      <c r="F4" s="37"/>
    </row>
    <row r="5" spans="3:6" ht="183" customHeight="1">
      <c r="E5" s="40" t="s">
        <v>42</v>
      </c>
      <c r="F5" s="41"/>
    </row>
  </sheetData>
  <sheetProtection password="C782" sheet="1" objects="1" scenarios="1"/>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7</vt:i4>
      </vt:variant>
      <vt:variant>
        <vt:lpstr>Plages nommées</vt:lpstr>
      </vt:variant>
      <vt:variant>
        <vt:i4>8</vt:i4>
      </vt:variant>
    </vt:vector>
  </HeadingPairs>
  <TitlesOfParts>
    <vt:vector size="15" baseType="lpstr">
      <vt:lpstr>Béta</vt:lpstr>
      <vt:lpstr>Liste</vt:lpstr>
      <vt:lpstr>Pressions</vt:lpstr>
      <vt:lpstr>P.Vaporisation</vt:lpstr>
      <vt:lpstr>Guide</vt:lpstr>
      <vt:lpstr>Interface</vt:lpstr>
      <vt:lpstr>Image</vt:lpstr>
      <vt:lpstr>Antigel</vt:lpstr>
      <vt:lpstr>Chaufferie</vt:lpstr>
      <vt:lpstr>ecs</vt:lpstr>
      <vt:lpstr>glycol</vt:lpstr>
      <vt:lpstr>Liste</vt:lpstr>
      <vt:lpstr>Pompe</vt:lpstr>
      <vt:lpstr>type</vt:lpstr>
      <vt:lpstr>vide</vt:lpstr>
    </vt:vector>
  </TitlesOfParts>
  <Company>COSTIC</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Thibaut DELANNOY</dc:creator>
  <cp:lastModifiedBy>tde</cp:lastModifiedBy>
  <cp:lastPrinted>2014-07-28T08:01:32Z</cp:lastPrinted>
  <dcterms:created xsi:type="dcterms:W3CDTF">2014-06-16T10:23:06Z</dcterms:created>
  <dcterms:modified xsi:type="dcterms:W3CDTF">2014-07-28T08:02:16Z</dcterms:modified>
</cp:coreProperties>
</file>